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43" sheetId="4" r:id="rId1"/>
    <sheet name="ShareofTaxesCal-_BE 15-16 " sheetId="21" r:id="rId2"/>
    <sheet name="ShareofTaxesCal-_Act 15-16" sheetId="22" r:id="rId3"/>
    <sheet name="Consolidated 2017-18" sheetId="23" r:id="rId4"/>
    <sheet name="ShareofTaxesCal-_17-18" sheetId="24" r:id="rId5"/>
    <sheet name="ShareofTaxesCal_B.E 16-17" sheetId="29" r:id="rId6"/>
    <sheet name="ShareofTaxesCal-_Act 16-17" sheetId="28" r:id="rId7"/>
    <sheet name="ShareofTaxesCal-_18-19" sheetId="26" r:id="rId8"/>
    <sheet name="Consolidated 2018-19" sheetId="27" r:id="rId9"/>
    <sheet name="ShareofGrantCal" sheetId="13" r:id="rId10"/>
    <sheet name="summaryp" sheetId="11" r:id="rId11"/>
    <sheet name="summarynp" sheetId="12" r:id="rId12"/>
    <sheet name="BE 17-18" sheetId="19" r:id="rId13"/>
    <sheet name="p+np" sheetId="25" r:id="rId14"/>
    <sheet name="Sheet1" sheetId="30" r:id="rId15"/>
    <sheet name="ShareofTaxesCal_B.E 17-18" sheetId="31" r:id="rId16"/>
    <sheet name="ShareofTaxesCal-_Act 17-18" sheetId="32" r:id="rId17"/>
    <sheet name="ShareofTaxesCal-_19-20" sheetId="33" r:id="rId18"/>
    <sheet name="Consolidated 2019-20" sheetId="34" r:id="rId19"/>
    <sheet name="summaryp 19-20" sheetId="35" r:id="rId20"/>
    <sheet name="summarynp 19-20" sheetId="36" r:id="rId21"/>
    <sheet name="p+np 19-20" sheetId="37" r:id="rId22"/>
  </sheets>
  <externalReferences>
    <externalReference r:id="rId23"/>
    <externalReference r:id="rId24"/>
  </externalReferences>
  <definedNames>
    <definedName name="__123Graph_D" localSheetId="9" hidden="1">[1]dem18!#REF!</definedName>
    <definedName name="__123Graph_D" localSheetId="4" hidden="1">[2]dem18!#REF!</definedName>
    <definedName name="__123Graph_D" localSheetId="7" hidden="1">[2]dem18!#REF!</definedName>
    <definedName name="__123Graph_D" localSheetId="17" hidden="1">[2]dem18!#REF!</definedName>
    <definedName name="__123Graph_D" localSheetId="2" hidden="1">[2]dem18!#REF!</definedName>
    <definedName name="__123Graph_D" localSheetId="6" hidden="1">[2]dem18!#REF!</definedName>
    <definedName name="__123Graph_D" localSheetId="16" hidden="1">[2]dem18!#REF!</definedName>
    <definedName name="__123Graph_D" localSheetId="5" hidden="1">[1]dem18!#REF!</definedName>
    <definedName name="__123Graph_D" localSheetId="15" hidden="1">[1]dem18!#REF!</definedName>
    <definedName name="__123Graph_D" localSheetId="1" hidden="1">[2]dem18!#REF!</definedName>
    <definedName name="_xlnm._FilterDatabase" localSheetId="0" hidden="1">'dem43'!$A$17:$J$205</definedName>
    <definedName name="_xlnm._FilterDatabase" localSheetId="10" hidden="1">summaryp!$A$5:$Q$24</definedName>
    <definedName name="_xlnm._FilterDatabase" localSheetId="19" hidden="1">'summaryp 19-20'!$A$5:$Q$24</definedName>
    <definedName name="_Regression_Int" localSheetId="0" hidden="1">1</definedName>
    <definedName name="ah" localSheetId="0">'dem43'!#REF!</definedName>
    <definedName name="are" localSheetId="0">'dem43'!#REF!</definedName>
    <definedName name="cad" localSheetId="0">'dem43'!#REF!</definedName>
    <definedName name="CH" localSheetId="0">'dem43'!#REF!</definedName>
    <definedName name="compen" localSheetId="0">'dem43'!$D$202:$J$202</definedName>
    <definedName name="coop" localSheetId="0">'dem43'!#REF!</definedName>
    <definedName name="dd" localSheetId="0">'dem43'!#REF!</definedName>
    <definedName name="edu" localSheetId="0">'dem43'!$D$88:$J$88</definedName>
    <definedName name="election" localSheetId="0">'dem43'!$D$48:$J$48</definedName>
    <definedName name="fish" localSheetId="0">'dem43'!#REF!</definedName>
    <definedName name="flood" localSheetId="0">'dem43'!#REF!</definedName>
    <definedName name="forest" localSheetId="0">'dem43'!#REF!</definedName>
    <definedName name="housing" localSheetId="0">'dem43'!#REF!</definedName>
    <definedName name="housingcap" localSheetId="0">'dem43'!#REF!</definedName>
    <definedName name="ind" localSheetId="0">'dem43'!#REF!</definedName>
    <definedName name="labour" localSheetId="0">'dem43'!#REF!</definedName>
    <definedName name="lr" localSheetId="0">'dem43'!#REF!</definedName>
    <definedName name="med" localSheetId="0">'dem43'!#REF!</definedName>
    <definedName name="mi" localSheetId="0">'dem43'!#REF!</definedName>
    <definedName name="ncse" localSheetId="0">'dem43'!#REF!</definedName>
    <definedName name="np" localSheetId="0">'dem43'!#REF!</definedName>
    <definedName name="nutrition" localSheetId="0">'dem43'!#REF!</definedName>
    <definedName name="oap" localSheetId="0">'dem43'!#REF!</definedName>
    <definedName name="ordp" localSheetId="0">'dem43'!$D$167:$J$167</definedName>
    <definedName name="ordpcap" localSheetId="0">'dem43'!#REF!</definedName>
    <definedName name="ordprec" localSheetId="0">'dem43'!#REF!</definedName>
    <definedName name="power" localSheetId="0">'dem43'!#REF!</definedName>
    <definedName name="_xlnm.Print_Area" localSheetId="0">'dem43'!$A$1:$J$204</definedName>
    <definedName name="_xlnm.Print_Area" localSheetId="21">'p+np 19-20'!$A$1:$Q$34</definedName>
    <definedName name="_xlnm.Print_Area" localSheetId="9">ShareofGrantCal!$A$1:$M$29</definedName>
    <definedName name="_xlnm.Print_Area" localSheetId="4">'ShareofTaxesCal-_17-18'!$A$1:$K$95</definedName>
    <definedName name="_xlnm.Print_Area" localSheetId="7">'ShareofTaxesCal-_18-19'!$A$1:$K$97</definedName>
    <definedName name="_xlnm.Print_Area" localSheetId="17">'ShareofTaxesCal-_19-20'!$A$1:$K$97</definedName>
    <definedName name="_xlnm.Print_Area" localSheetId="2">'ShareofTaxesCal-_Act 15-16'!$A$1:$K$95</definedName>
    <definedName name="_xlnm.Print_Area" localSheetId="6">'ShareofTaxesCal-_Act 16-17'!$A$1:$K$95</definedName>
    <definedName name="_xlnm.Print_Area" localSheetId="16">'ShareofTaxesCal-_Act 17-18'!$A$1:$K$97</definedName>
    <definedName name="_xlnm.Print_Area" localSheetId="5">'ShareofTaxesCal_B.E 16-17'!$A$1:$K$95</definedName>
    <definedName name="_xlnm.Print_Area" localSheetId="15">'ShareofTaxesCal_B.E 17-18'!$A$1:$K$97</definedName>
    <definedName name="_xlnm.Print_Area" localSheetId="1">'ShareofTaxesCal-_BE 15-16 '!$A$1:$K$95</definedName>
    <definedName name="_xlnm.Print_Area" localSheetId="11">summarynp!$A$1:$Q$29</definedName>
    <definedName name="_xlnm.Print_Area" localSheetId="20">'summarynp 19-20'!$A$1:$Q$29</definedName>
    <definedName name="_xlnm.Print_Area" localSheetId="10">summaryp!$A$1:$Q$27</definedName>
    <definedName name="_xlnm.Print_Area" localSheetId="19">'summaryp 19-20'!$A$1:$Q$27</definedName>
    <definedName name="_xlnm.Print_Titles" localSheetId="0">'dem43'!$14:$17</definedName>
    <definedName name="_xlnm.Print_Titles" localSheetId="10">summaryp!$5:$7</definedName>
    <definedName name="_xlnm.Print_Titles" localSheetId="19">'summaryp 19-20'!$5:$7</definedName>
    <definedName name="rb" localSheetId="0">'dem43'!#REF!</definedName>
    <definedName name="rbcap" localSheetId="0">'dem43'!#REF!</definedName>
    <definedName name="rbrec" localSheetId="0">'dem43'!#REF!</definedName>
    <definedName name="re" localSheetId="0">'dem43'!#REF!</definedName>
    <definedName name="revise" localSheetId="0">'dem43'!$D$217:$I$217</definedName>
    <definedName name="roads" localSheetId="0">'dem43'!#REF!</definedName>
    <definedName name="ruralEmp" localSheetId="0">'dem43'!#REF!</definedName>
    <definedName name="sc" localSheetId="0">'dem43'!#REF!</definedName>
    <definedName name="scst" localSheetId="0">'dem43'!#REF!</definedName>
    <definedName name="spfrd" localSheetId="0">'dem43'!#REF!</definedName>
    <definedName name="sports" localSheetId="0">'dem43'!#REF!</definedName>
    <definedName name="spprg" localSheetId="0">'dem43'!#REF!</definedName>
    <definedName name="spProg" localSheetId="0">'dem43'!#REF!</definedName>
    <definedName name="sss" localSheetId="0">'dem43'!#REF!</definedName>
    <definedName name="ssw" localSheetId="0">'dem43'!#REF!</definedName>
    <definedName name="summary" localSheetId="0">'dem43'!$D$209:$I$209</definedName>
    <definedName name="swc" localSheetId="0">'dem43'!#REF!</definedName>
    <definedName name="tourism" localSheetId="0">'dem43'!#REF!</definedName>
    <definedName name="Voted" localSheetId="0">'dem43'!$E$11:$G$11</definedName>
    <definedName name="vsi" localSheetId="0">'dem43'!#REF!</definedName>
    <definedName name="water" localSheetId="0">'dem43'!#REF!</definedName>
    <definedName name="Z_239EE218_578E_4317_BEED_14D5D7089E27_.wvu.Cols" localSheetId="0" hidden="1">'dem43'!#REF!</definedName>
    <definedName name="Z_239EE218_578E_4317_BEED_14D5D7089E27_.wvu.FilterData" localSheetId="0" hidden="1">'dem43'!$A$1:$J$18</definedName>
    <definedName name="Z_239EE218_578E_4317_BEED_14D5D7089E27_.wvu.PrintArea" localSheetId="0" hidden="1">'dem43'!$A$1:$J$18</definedName>
    <definedName name="Z_239EE218_578E_4317_BEED_14D5D7089E27_.wvu.PrintTitles" localSheetId="0" hidden="1">'dem43'!$14:$17</definedName>
    <definedName name="Z_302A3EA3_AE96_11D5_A646_0050BA3D7AFD_.wvu.Cols" localSheetId="0" hidden="1">'dem43'!#REF!</definedName>
    <definedName name="Z_302A3EA3_AE96_11D5_A646_0050BA3D7AFD_.wvu.FilterData" localSheetId="0" hidden="1">'dem43'!$A$1:$J$18</definedName>
    <definedName name="Z_302A3EA3_AE96_11D5_A646_0050BA3D7AFD_.wvu.PrintArea" localSheetId="0" hidden="1">'dem43'!$A$1:$J$18</definedName>
    <definedName name="Z_302A3EA3_AE96_11D5_A646_0050BA3D7AFD_.wvu.PrintTitles" localSheetId="0" hidden="1">'dem43'!$14:$17</definedName>
    <definedName name="Z_36DBA021_0ECB_11D4_8064_004005726899_.wvu.Cols" localSheetId="0" hidden="1">'dem43'!#REF!</definedName>
    <definedName name="Z_36DBA021_0ECB_11D4_8064_004005726899_.wvu.FilterData" localSheetId="0" hidden="1">'dem43'!$C$18:$C$18</definedName>
    <definedName name="Z_36DBA021_0ECB_11D4_8064_004005726899_.wvu.PrintTitles" localSheetId="0" hidden="1">'dem43'!$14:$17</definedName>
    <definedName name="Z_93EBE921_AE91_11D5_8685_004005726899_.wvu.Cols" localSheetId="0" hidden="1">'dem43'!#REF!</definedName>
    <definedName name="Z_93EBE921_AE91_11D5_8685_004005726899_.wvu.FilterData" localSheetId="0" hidden="1">'dem43'!$C$18:$C$18</definedName>
    <definedName name="Z_93EBE921_AE91_11D5_8685_004005726899_.wvu.PrintArea" localSheetId="0" hidden="1">'dem43'!$A$1:$J$18</definedName>
    <definedName name="Z_93EBE921_AE91_11D5_8685_004005726899_.wvu.PrintTitles" localSheetId="0" hidden="1">'dem43'!$14:$17</definedName>
    <definedName name="Z_94DA79C1_0FDE_11D5_9579_000021DAEEA2_.wvu.Cols" localSheetId="0" hidden="1">'dem43'!#REF!</definedName>
    <definedName name="Z_94DA79C1_0FDE_11D5_9579_000021DAEEA2_.wvu.FilterData" localSheetId="0" hidden="1">'dem43'!$C$18:$C$18</definedName>
    <definedName name="Z_94DA79C1_0FDE_11D5_9579_000021DAEEA2_.wvu.PrintArea" localSheetId="0" hidden="1">'dem43'!$A$1:$J$18</definedName>
    <definedName name="Z_94DA79C1_0FDE_11D5_9579_000021DAEEA2_.wvu.PrintTitles" localSheetId="0" hidden="1">'dem43'!$14:$17</definedName>
    <definedName name="Z_B4CB0970_161F_11D5_8064_004005726899_.wvu.FilterData" localSheetId="0" hidden="1">'dem43'!$C$18:$C$18</definedName>
    <definedName name="Z_B4CB0976_161F_11D5_8064_004005726899_.wvu.FilterData" localSheetId="0" hidden="1">'dem43'!$C$18:$C$18</definedName>
    <definedName name="Z_B4CB0978_161F_11D5_8064_004005726899_.wvu.FilterData" localSheetId="0" hidden="1">'dem43'!$C$18:$C$18</definedName>
    <definedName name="Z_B4CB099E_161F_11D5_8064_004005726899_.wvu.FilterData" localSheetId="0" hidden="1">'dem43'!$C$18:$C$18</definedName>
    <definedName name="Z_C868F8C3_16D7_11D5_A68D_81D6213F5331_.wvu.Cols" localSheetId="0" hidden="1">'dem43'!#REF!</definedName>
    <definedName name="Z_C868F8C3_16D7_11D5_A68D_81D6213F5331_.wvu.FilterData" localSheetId="0" hidden="1">'dem43'!$C$18:$C$18</definedName>
    <definedName name="Z_C868F8C3_16D7_11D5_A68D_81D6213F5331_.wvu.PrintTitles" localSheetId="0" hidden="1">'dem43'!$14:$17</definedName>
    <definedName name="Z_E5DF37BD_125C_11D5_8DC4_D0F5D88B3549_.wvu.Cols" localSheetId="0" hidden="1">'dem43'!#REF!</definedName>
    <definedName name="Z_E5DF37BD_125C_11D5_8DC4_D0F5D88B3549_.wvu.FilterData" localSheetId="0" hidden="1">'dem43'!$C$18:$C$18</definedName>
    <definedName name="Z_E5DF37BD_125C_11D5_8DC4_D0F5D88B3549_.wvu.PrintArea" localSheetId="0" hidden="1">'dem43'!$A$1:$J$18</definedName>
    <definedName name="Z_E5DF37BD_125C_11D5_8DC4_D0F5D88B3549_.wvu.PrintTitles" localSheetId="0" hidden="1">'dem43'!$14:$17</definedName>
    <definedName name="Z_ED6647A4_1622_11D5_96DF_000021E43CDF_.wvu.PrintArea" localSheetId="0" hidden="1">'dem43'!$A$1:$J$18</definedName>
    <definedName name="Z_F8ADACC1_164E_11D6_B603_000021DAEEA2_.wvu.Cols" localSheetId="0" hidden="1">'dem43'!#REF!</definedName>
    <definedName name="Z_F8ADACC1_164E_11D6_B603_000021DAEEA2_.wvu.FilterData" localSheetId="0" hidden="1">'dem43'!$C$18:$C$18</definedName>
    <definedName name="Z_F8ADACC1_164E_11D6_B603_000021DAEEA2_.wvu.PrintArea" localSheetId="0" hidden="1">'dem43'!$A$1:$J$18</definedName>
    <definedName name="Z_F8ADACC1_164E_11D6_B603_000021DAEEA2_.wvu.PrintTitles" localSheetId="0" hidden="1">'dem43'!$14:$17</definedName>
  </definedNames>
  <calcPr calcId="125725"/>
</workbook>
</file>

<file path=xl/calcChain.xml><?xml version="1.0" encoding="utf-8"?>
<calcChain xmlns="http://schemas.openxmlformats.org/spreadsheetml/2006/main">
  <c r="P31" i="37"/>
  <c r="O31"/>
  <c r="N31"/>
  <c r="M31"/>
  <c r="P29"/>
  <c r="O29"/>
  <c r="N29"/>
  <c r="M29"/>
  <c r="P27"/>
  <c r="P26"/>
  <c r="P23"/>
  <c r="P25"/>
  <c r="O27"/>
  <c r="N27"/>
  <c r="M27"/>
  <c r="O26"/>
  <c r="N26"/>
  <c r="M26"/>
  <c r="O25"/>
  <c r="N25"/>
  <c r="M25"/>
  <c r="M23"/>
  <c r="N23"/>
  <c r="O23"/>
  <c r="M22"/>
  <c r="N22"/>
  <c r="O22"/>
  <c r="P22"/>
  <c r="P21"/>
  <c r="O21"/>
  <c r="N21"/>
  <c r="M21"/>
  <c r="K30"/>
  <c r="J30"/>
  <c r="I30"/>
  <c r="H30"/>
  <c r="K28"/>
  <c r="J28"/>
  <c r="I28"/>
  <c r="H28"/>
  <c r="K24"/>
  <c r="J24"/>
  <c r="I24"/>
  <c r="H24"/>
  <c r="I18" i="36"/>
  <c r="J18"/>
  <c r="J26" s="1"/>
  <c r="K18"/>
  <c r="H20" i="37"/>
  <c r="I20"/>
  <c r="J20"/>
  <c r="K20"/>
  <c r="K18"/>
  <c r="K32" s="1"/>
  <c r="J18"/>
  <c r="I18"/>
  <c r="H18"/>
  <c r="P25" i="36"/>
  <c r="P23"/>
  <c r="P19"/>
  <c r="K24"/>
  <c r="J24"/>
  <c r="I24"/>
  <c r="H24"/>
  <c r="K22"/>
  <c r="J22"/>
  <c r="M22" i="35"/>
  <c r="N22"/>
  <c r="O22"/>
  <c r="P22"/>
  <c r="M23"/>
  <c r="N23"/>
  <c r="O23"/>
  <c r="P23"/>
  <c r="H20"/>
  <c r="I20"/>
  <c r="J20"/>
  <c r="K20"/>
  <c r="H18"/>
  <c r="K19"/>
  <c r="J19"/>
  <c r="I19"/>
  <c r="H19"/>
  <c r="P30" i="37"/>
  <c r="O30"/>
  <c r="N30"/>
  <c r="M30"/>
  <c r="K29"/>
  <c r="J29"/>
  <c r="I29"/>
  <c r="H29"/>
  <c r="P28"/>
  <c r="O28"/>
  <c r="N28"/>
  <c r="M28"/>
  <c r="L27"/>
  <c r="O32"/>
  <c r="L26"/>
  <c r="L32" s="1"/>
  <c r="Q24"/>
  <c r="K23"/>
  <c r="J23"/>
  <c r="I23"/>
  <c r="H23"/>
  <c r="K22"/>
  <c r="J22"/>
  <c r="I22"/>
  <c r="H22"/>
  <c r="K21"/>
  <c r="J21"/>
  <c r="I21"/>
  <c r="H21"/>
  <c r="Q17"/>
  <c r="Q16"/>
  <c r="Q15"/>
  <c r="Q14"/>
  <c r="Q13"/>
  <c r="Q12"/>
  <c r="Q11"/>
  <c r="Q10"/>
  <c r="Q9"/>
  <c r="Q8"/>
  <c r="L8"/>
  <c r="Q30" i="36"/>
  <c r="P31" s="1"/>
  <c r="P32" s="1"/>
  <c r="L30"/>
  <c r="K31" s="1"/>
  <c r="K32" s="1"/>
  <c r="O25"/>
  <c r="N25"/>
  <c r="M25"/>
  <c r="O23"/>
  <c r="N23"/>
  <c r="M23"/>
  <c r="I22"/>
  <c r="I26" s="1"/>
  <c r="H22"/>
  <c r="P21"/>
  <c r="O21"/>
  <c r="N21"/>
  <c r="M21"/>
  <c r="L21"/>
  <c r="P20"/>
  <c r="O20"/>
  <c r="N20"/>
  <c r="M20"/>
  <c r="L20"/>
  <c r="O19"/>
  <c r="N19"/>
  <c r="M19"/>
  <c r="Q18"/>
  <c r="H18"/>
  <c r="H26" s="1"/>
  <c r="Q17"/>
  <c r="L17"/>
  <c r="Q16"/>
  <c r="L16"/>
  <c r="Q15"/>
  <c r="L15"/>
  <c r="Q14"/>
  <c r="L14"/>
  <c r="Q13"/>
  <c r="L13"/>
  <c r="Q12"/>
  <c r="L12"/>
  <c r="Q11"/>
  <c r="L11"/>
  <c r="Q10"/>
  <c r="L10"/>
  <c r="Q9"/>
  <c r="Q26" s="1"/>
  <c r="L9"/>
  <c r="P8"/>
  <c r="O8"/>
  <c r="N8"/>
  <c r="M8"/>
  <c r="L8"/>
  <c r="L42" i="35"/>
  <c r="I43" s="1"/>
  <c r="I44" s="1"/>
  <c r="H37"/>
  <c r="H38" s="1"/>
  <c r="Q36"/>
  <c r="N37" s="1"/>
  <c r="N38" s="1"/>
  <c r="L36"/>
  <c r="J40" s="1"/>
  <c r="L24"/>
  <c r="P21"/>
  <c r="O21"/>
  <c r="N21"/>
  <c r="N24" s="1"/>
  <c r="M21"/>
  <c r="M24" s="1"/>
  <c r="K18"/>
  <c r="J18"/>
  <c r="I18"/>
  <c r="Q17"/>
  <c r="Q16"/>
  <c r="Q15"/>
  <c r="Q14"/>
  <c r="Q13"/>
  <c r="Q12"/>
  <c r="Q11"/>
  <c r="Q10"/>
  <c r="Q9"/>
  <c r="Q8"/>
  <c r="O33" s="1"/>
  <c r="L8"/>
  <c r="J32" i="37" l="1"/>
  <c r="N26" i="36"/>
  <c r="L26"/>
  <c r="M26"/>
  <c r="O26"/>
  <c r="M31"/>
  <c r="M32" s="1"/>
  <c r="P26"/>
  <c r="H32" i="37"/>
  <c r="N32"/>
  <c r="I32"/>
  <c r="I24" i="35"/>
  <c r="O37"/>
  <c r="O38" s="1"/>
  <c r="P24"/>
  <c r="O24"/>
  <c r="M37"/>
  <c r="M38" s="1"/>
  <c r="Q8" i="36"/>
  <c r="O31"/>
  <c r="O32" s="1"/>
  <c r="K26"/>
  <c r="P32" i="37"/>
  <c r="M32"/>
  <c r="Q32"/>
  <c r="K24" i="35"/>
  <c r="J24"/>
  <c r="H24"/>
  <c r="Q24"/>
  <c r="J31" i="36"/>
  <c r="J32" s="1"/>
  <c r="I31"/>
  <c r="I32" s="1"/>
  <c r="N31"/>
  <c r="N32" s="1"/>
  <c r="H31"/>
  <c r="H32" s="1"/>
  <c r="N32" i="35"/>
  <c r="N33"/>
  <c r="K37"/>
  <c r="K38" s="1"/>
  <c r="P37"/>
  <c r="P38" s="1"/>
  <c r="I40"/>
  <c r="H43"/>
  <c r="H44" s="1"/>
  <c r="L44" s="1"/>
  <c r="M32"/>
  <c r="M33"/>
  <c r="J37"/>
  <c r="J38" s="1"/>
  <c r="H40"/>
  <c r="K43"/>
  <c r="K44" s="1"/>
  <c r="P32"/>
  <c r="P33"/>
  <c r="I37"/>
  <c r="I38" s="1"/>
  <c r="L38" s="1"/>
  <c r="K40"/>
  <c r="J43"/>
  <c r="J44" s="1"/>
  <c r="O32"/>
  <c r="E30" i="32"/>
  <c r="Q32" i="36" l="1"/>
  <c r="Q38" i="35"/>
  <c r="L32" i="36"/>
  <c r="G30" i="32"/>
  <c r="H30" s="1"/>
  <c r="I30" s="1"/>
  <c r="J30" s="1"/>
  <c r="E30" i="31"/>
  <c r="G30" s="1"/>
  <c r="D37"/>
  <c r="C37"/>
  <c r="K30" i="32" l="1"/>
  <c r="C44"/>
  <c r="H30" i="31"/>
  <c r="I30" s="1"/>
  <c r="D44" i="32" l="1"/>
  <c r="E44" s="1"/>
  <c r="J30" i="31"/>
  <c r="K30" l="1"/>
  <c r="C44"/>
  <c r="C96" i="33"/>
  <c r="C79"/>
  <c r="C78"/>
  <c r="C77"/>
  <c r="C76"/>
  <c r="C75"/>
  <c r="C74"/>
  <c r="C73"/>
  <c r="D37"/>
  <c r="C37"/>
  <c r="E36"/>
  <c r="G36" s="1"/>
  <c r="E35"/>
  <c r="G35" s="1"/>
  <c r="H35" s="1"/>
  <c r="I35" s="1"/>
  <c r="E34"/>
  <c r="G34" s="1"/>
  <c r="E33"/>
  <c r="G33" s="1"/>
  <c r="H33" s="1"/>
  <c r="I33" s="1"/>
  <c r="E32"/>
  <c r="G32" s="1"/>
  <c r="E31"/>
  <c r="G31" s="1"/>
  <c r="H31" s="1"/>
  <c r="I31" s="1"/>
  <c r="E30"/>
  <c r="C96" i="32"/>
  <c r="C79"/>
  <c r="C78"/>
  <c r="C77"/>
  <c r="C76"/>
  <c r="C75"/>
  <c r="C74"/>
  <c r="C73"/>
  <c r="D37"/>
  <c r="C37"/>
  <c r="E36"/>
  <c r="G36" s="1"/>
  <c r="E35"/>
  <c r="G35" s="1"/>
  <c r="H35" s="1"/>
  <c r="I35" s="1"/>
  <c r="E34"/>
  <c r="G33"/>
  <c r="E33"/>
  <c r="E32"/>
  <c r="E31"/>
  <c r="C96" i="31"/>
  <c r="C79"/>
  <c r="C78"/>
  <c r="C77"/>
  <c r="C76"/>
  <c r="C75"/>
  <c r="C74"/>
  <c r="C73"/>
  <c r="E36"/>
  <c r="G36" s="1"/>
  <c r="E35"/>
  <c r="G35" s="1"/>
  <c r="E34"/>
  <c r="G34" s="1"/>
  <c r="E33"/>
  <c r="G33" s="1"/>
  <c r="E32"/>
  <c r="G32" s="1"/>
  <c r="E31"/>
  <c r="C80" i="32" l="1"/>
  <c r="D90" s="1"/>
  <c r="E37" i="33"/>
  <c r="C80"/>
  <c r="D95" s="1"/>
  <c r="C80" i="31"/>
  <c r="D94" s="1"/>
  <c r="E37" i="32"/>
  <c r="G34"/>
  <c r="H34" s="1"/>
  <c r="I34" s="1"/>
  <c r="G31"/>
  <c r="G32"/>
  <c r="H32" s="1"/>
  <c r="I32" s="1"/>
  <c r="J32" s="1"/>
  <c r="C46" s="1"/>
  <c r="H36"/>
  <c r="I36" s="1"/>
  <c r="H33"/>
  <c r="I33" s="1"/>
  <c r="D44" i="31"/>
  <c r="E37"/>
  <c r="G31"/>
  <c r="G37" s="1"/>
  <c r="H33"/>
  <c r="I33" s="1"/>
  <c r="J33" s="1"/>
  <c r="C47" s="1"/>
  <c r="H35"/>
  <c r="I35" s="1"/>
  <c r="J35" s="1"/>
  <c r="C49" s="1"/>
  <c r="H32"/>
  <c r="I32" s="1"/>
  <c r="J32" s="1"/>
  <c r="C46" s="1"/>
  <c r="H34"/>
  <c r="I34" s="1"/>
  <c r="J34" s="1"/>
  <c r="C48" s="1"/>
  <c r="H36"/>
  <c r="I36" s="1"/>
  <c r="J31" i="33"/>
  <c r="C45" s="1"/>
  <c r="D91"/>
  <c r="D90"/>
  <c r="D76"/>
  <c r="D93"/>
  <c r="D92"/>
  <c r="D77"/>
  <c r="D73"/>
  <c r="J35"/>
  <c r="C49" s="1"/>
  <c r="J33"/>
  <c r="C47" s="1"/>
  <c r="H32"/>
  <c r="I32" s="1"/>
  <c r="H34"/>
  <c r="I34" s="1"/>
  <c r="H36"/>
  <c r="I36" s="1"/>
  <c r="G30"/>
  <c r="G37" s="1"/>
  <c r="J35" i="32"/>
  <c r="C49" s="1"/>
  <c r="D95" i="31"/>
  <c r="D91"/>
  <c r="D90"/>
  <c r="D78"/>
  <c r="D76"/>
  <c r="D93"/>
  <c r="D89"/>
  <c r="D92"/>
  <c r="D77"/>
  <c r="D75"/>
  <c r="D73"/>
  <c r="J36"/>
  <c r="C50" s="1"/>
  <c r="H199" i="4"/>
  <c r="F199"/>
  <c r="D199"/>
  <c r="H194"/>
  <c r="F194"/>
  <c r="D194"/>
  <c r="H187"/>
  <c r="H188" s="1"/>
  <c r="F187"/>
  <c r="F188" s="1"/>
  <c r="D187"/>
  <c r="D188" s="1"/>
  <c r="H181"/>
  <c r="H182" s="1"/>
  <c r="F181"/>
  <c r="F182" s="1"/>
  <c r="D181"/>
  <c r="D182" s="1"/>
  <c r="H175"/>
  <c r="H176" s="1"/>
  <c r="F175"/>
  <c r="F176" s="1"/>
  <c r="D175"/>
  <c r="D176" s="1"/>
  <c r="H165"/>
  <c r="H166" s="1"/>
  <c r="F165"/>
  <c r="F166" s="1"/>
  <c r="D165"/>
  <c r="D166" s="1"/>
  <c r="H158"/>
  <c r="H159" s="1"/>
  <c r="F158"/>
  <c r="F159" s="1"/>
  <c r="D158"/>
  <c r="D159" s="1"/>
  <c r="H150"/>
  <c r="F150"/>
  <c r="D150"/>
  <c r="H143"/>
  <c r="F143"/>
  <c r="D143"/>
  <c r="H136"/>
  <c r="F136"/>
  <c r="D136"/>
  <c r="H129"/>
  <c r="F129"/>
  <c r="D129"/>
  <c r="H122"/>
  <c r="F122"/>
  <c r="D122"/>
  <c r="H115"/>
  <c r="F115"/>
  <c r="D115"/>
  <c r="H109"/>
  <c r="F109"/>
  <c r="D109"/>
  <c r="H103"/>
  <c r="F103"/>
  <c r="D103"/>
  <c r="H99"/>
  <c r="F99"/>
  <c r="D99"/>
  <c r="H85"/>
  <c r="F85"/>
  <c r="D85"/>
  <c r="H81"/>
  <c r="F81"/>
  <c r="D81"/>
  <c r="H77"/>
  <c r="F77"/>
  <c r="D77"/>
  <c r="H73"/>
  <c r="F73"/>
  <c r="D73"/>
  <c r="H67"/>
  <c r="F67"/>
  <c r="D67"/>
  <c r="H63"/>
  <c r="F63"/>
  <c r="D63"/>
  <c r="H59"/>
  <c r="F59"/>
  <c r="D59"/>
  <c r="H55"/>
  <c r="F55"/>
  <c r="D55"/>
  <c r="H46"/>
  <c r="F46"/>
  <c r="D46"/>
  <c r="H41"/>
  <c r="F41"/>
  <c r="D41"/>
  <c r="H34"/>
  <c r="H35" s="1"/>
  <c r="F34"/>
  <c r="F35" s="1"/>
  <c r="D34"/>
  <c r="D35" s="1"/>
  <c r="H26"/>
  <c r="H27" s="1"/>
  <c r="F26"/>
  <c r="F27" s="1"/>
  <c r="D26"/>
  <c r="D27" s="1"/>
  <c r="H29" i="25"/>
  <c r="I29"/>
  <c r="J29"/>
  <c r="K29"/>
  <c r="H30"/>
  <c r="I30"/>
  <c r="J30"/>
  <c r="K30"/>
  <c r="K28"/>
  <c r="I28"/>
  <c r="J28"/>
  <c r="H28"/>
  <c r="M28"/>
  <c r="N28"/>
  <c r="O28"/>
  <c r="P28"/>
  <c r="M29"/>
  <c r="N29"/>
  <c r="O29"/>
  <c r="P29"/>
  <c r="M30"/>
  <c r="N30"/>
  <c r="O30"/>
  <c r="P30"/>
  <c r="M31"/>
  <c r="N31"/>
  <c r="O31"/>
  <c r="P31"/>
  <c r="M26"/>
  <c r="N26"/>
  <c r="O26"/>
  <c r="P26"/>
  <c r="M27"/>
  <c r="N27"/>
  <c r="O27"/>
  <c r="P27"/>
  <c r="P25"/>
  <c r="O25"/>
  <c r="N25"/>
  <c r="M25"/>
  <c r="H21"/>
  <c r="I21"/>
  <c r="J21"/>
  <c r="K21"/>
  <c r="H22"/>
  <c r="I22"/>
  <c r="J22"/>
  <c r="K22"/>
  <c r="H23"/>
  <c r="I23"/>
  <c r="J23"/>
  <c r="K23"/>
  <c r="H24"/>
  <c r="I24"/>
  <c r="J24"/>
  <c r="K24"/>
  <c r="M22"/>
  <c r="N22"/>
  <c r="O22"/>
  <c r="P22"/>
  <c r="M23"/>
  <c r="N23"/>
  <c r="O23"/>
  <c r="P23"/>
  <c r="P21"/>
  <c r="O21"/>
  <c r="N21"/>
  <c r="M21"/>
  <c r="H19"/>
  <c r="I19"/>
  <c r="J19"/>
  <c r="K19"/>
  <c r="H20"/>
  <c r="I20"/>
  <c r="J20"/>
  <c r="K20"/>
  <c r="K18"/>
  <c r="J18"/>
  <c r="H18"/>
  <c r="I18"/>
  <c r="D79" i="33" l="1"/>
  <c r="C65" s="1"/>
  <c r="D74"/>
  <c r="D94"/>
  <c r="D75"/>
  <c r="D89"/>
  <c r="D96" s="1"/>
  <c r="D78"/>
  <c r="D78" i="32"/>
  <c r="C64" s="1"/>
  <c r="D89"/>
  <c r="D75"/>
  <c r="E11" s="1"/>
  <c r="D95"/>
  <c r="D92"/>
  <c r="F92" s="1"/>
  <c r="D91"/>
  <c r="D79" i="31"/>
  <c r="C65" s="1"/>
  <c r="D74"/>
  <c r="E10" s="1"/>
  <c r="D79" i="32"/>
  <c r="C65" s="1"/>
  <c r="D74"/>
  <c r="E10" s="1"/>
  <c r="D94"/>
  <c r="D73"/>
  <c r="D76"/>
  <c r="E12" s="1"/>
  <c r="D77"/>
  <c r="C63" s="1"/>
  <c r="D93"/>
  <c r="K35"/>
  <c r="J33"/>
  <c r="C47" s="1"/>
  <c r="D47" s="1"/>
  <c r="E47" s="1"/>
  <c r="J34"/>
  <c r="C48" s="1"/>
  <c r="J36"/>
  <c r="C50" s="1"/>
  <c r="K32"/>
  <c r="G37"/>
  <c r="H31"/>
  <c r="H37" s="1"/>
  <c r="E44" i="31"/>
  <c r="H31"/>
  <c r="H37" s="1"/>
  <c r="J36" i="33"/>
  <c r="C50" s="1"/>
  <c r="D47"/>
  <c r="E47" s="1"/>
  <c r="D80"/>
  <c r="E9"/>
  <c r="C59"/>
  <c r="F92"/>
  <c r="C62"/>
  <c r="E12"/>
  <c r="F91"/>
  <c r="E15"/>
  <c r="C60"/>
  <c r="E10"/>
  <c r="F94"/>
  <c r="H30"/>
  <c r="K35"/>
  <c r="K31"/>
  <c r="J32"/>
  <c r="C46" s="1"/>
  <c r="D49"/>
  <c r="E49" s="1"/>
  <c r="E13"/>
  <c r="C63"/>
  <c r="F93"/>
  <c r="F90"/>
  <c r="D45"/>
  <c r="E45" s="1"/>
  <c r="J34"/>
  <c r="C48" s="1"/>
  <c r="E11"/>
  <c r="C61"/>
  <c r="F89"/>
  <c r="C64"/>
  <c r="E14"/>
  <c r="F95"/>
  <c r="K33"/>
  <c r="C59" i="32"/>
  <c r="E9"/>
  <c r="D50"/>
  <c r="E50" s="1"/>
  <c r="D49"/>
  <c r="E49" s="1"/>
  <c r="F94"/>
  <c r="D46"/>
  <c r="E46" s="1"/>
  <c r="F93"/>
  <c r="F90"/>
  <c r="D48"/>
  <c r="E48" s="1"/>
  <c r="C61"/>
  <c r="F89"/>
  <c r="F95"/>
  <c r="D49" i="31"/>
  <c r="E49" s="1"/>
  <c r="E15"/>
  <c r="D48"/>
  <c r="E48" s="1"/>
  <c r="C63"/>
  <c r="E13"/>
  <c r="I31"/>
  <c r="I37" s="1"/>
  <c r="D47"/>
  <c r="E47" s="1"/>
  <c r="E11"/>
  <c r="C61"/>
  <c r="D96"/>
  <c r="E94" s="1"/>
  <c r="F89"/>
  <c r="E14"/>
  <c r="C64"/>
  <c r="F95"/>
  <c r="D46"/>
  <c r="E46" s="1"/>
  <c r="K35"/>
  <c r="K34"/>
  <c r="D50"/>
  <c r="E50" s="1"/>
  <c r="C60"/>
  <c r="F94"/>
  <c r="F93"/>
  <c r="F90"/>
  <c r="D80"/>
  <c r="C59"/>
  <c r="E9"/>
  <c r="F92"/>
  <c r="C62"/>
  <c r="E12"/>
  <c r="F91"/>
  <c r="K36"/>
  <c r="K33"/>
  <c r="K32"/>
  <c r="D47" i="4"/>
  <c r="D48" s="1"/>
  <c r="H47"/>
  <c r="H48" s="1"/>
  <c r="F47"/>
  <c r="F48" s="1"/>
  <c r="H68"/>
  <c r="D151"/>
  <c r="D167" s="1"/>
  <c r="D68"/>
  <c r="F68"/>
  <c r="F151"/>
  <c r="F167" s="1"/>
  <c r="H151"/>
  <c r="H167" s="1"/>
  <c r="F86"/>
  <c r="D86"/>
  <c r="H86"/>
  <c r="F200"/>
  <c r="F201" s="1"/>
  <c r="F202" s="1"/>
  <c r="D200"/>
  <c r="D201" s="1"/>
  <c r="D202" s="1"/>
  <c r="H200"/>
  <c r="H201" s="1"/>
  <c r="H202" s="1"/>
  <c r="M32" i="25"/>
  <c r="N32"/>
  <c r="O32"/>
  <c r="P32"/>
  <c r="E90" i="33" l="1"/>
  <c r="E91"/>
  <c r="E93"/>
  <c r="E89"/>
  <c r="E14" i="32"/>
  <c r="K32" i="33"/>
  <c r="E13" i="32"/>
  <c r="E15"/>
  <c r="D96"/>
  <c r="E93" s="1"/>
  <c r="C60"/>
  <c r="F91"/>
  <c r="F96" s="1"/>
  <c r="D80"/>
  <c r="C62"/>
  <c r="K34" i="33"/>
  <c r="K34" i="32"/>
  <c r="K33"/>
  <c r="I31"/>
  <c r="J31" s="1"/>
  <c r="K31" s="1"/>
  <c r="E94" i="33"/>
  <c r="K36"/>
  <c r="E95"/>
  <c r="E92"/>
  <c r="F96"/>
  <c r="K36" i="32"/>
  <c r="E91" i="31"/>
  <c r="E92"/>
  <c r="I30" i="33"/>
  <c r="H37"/>
  <c r="D50"/>
  <c r="E50" s="1"/>
  <c r="D48"/>
  <c r="E48" s="1"/>
  <c r="D46"/>
  <c r="E46" s="1"/>
  <c r="J31" i="31"/>
  <c r="E95"/>
  <c r="E93"/>
  <c r="E89"/>
  <c r="F96"/>
  <c r="E90"/>
  <c r="F87" i="4"/>
  <c r="F88" s="1"/>
  <c r="F203" s="1"/>
  <c r="F204" s="1"/>
  <c r="H87"/>
  <c r="H88" s="1"/>
  <c r="H203" s="1"/>
  <c r="H204" s="1"/>
  <c r="D87"/>
  <c r="D88" s="1"/>
  <c r="D203" s="1"/>
  <c r="D204" s="1"/>
  <c r="E30" i="26"/>
  <c r="D37"/>
  <c r="C37"/>
  <c r="E91" i="32" l="1"/>
  <c r="E92"/>
  <c r="E95"/>
  <c r="E90"/>
  <c r="E89"/>
  <c r="E94"/>
  <c r="E96" i="33"/>
  <c r="I37" i="32"/>
  <c r="K37"/>
  <c r="D61" s="1"/>
  <c r="B13" i="34" s="1"/>
  <c r="K31" i="31"/>
  <c r="K37" s="1"/>
  <c r="D63" s="1"/>
  <c r="C15" i="34" s="1"/>
  <c r="J37" i="31"/>
  <c r="I37" i="33"/>
  <c r="J30"/>
  <c r="J37" i="32"/>
  <c r="C45"/>
  <c r="C45" i="31"/>
  <c r="C51" s="1"/>
  <c r="E96"/>
  <c r="G30" i="26"/>
  <c r="E96" i="32" l="1"/>
  <c r="D59"/>
  <c r="B11" i="34" s="1"/>
  <c r="D62" i="32"/>
  <c r="B14" i="34" s="1"/>
  <c r="D64" i="32"/>
  <c r="B16" i="34" s="1"/>
  <c r="D65" i="32"/>
  <c r="B17" i="34" s="1"/>
  <c r="D63" i="32"/>
  <c r="B15" i="34" s="1"/>
  <c r="D60" i="32"/>
  <c r="B12" i="34" s="1"/>
  <c r="D61" i="31"/>
  <c r="C13" i="34" s="1"/>
  <c r="D60" i="31"/>
  <c r="C12" i="34" s="1"/>
  <c r="D59" i="31"/>
  <c r="C11" i="34" s="1"/>
  <c r="D64" i="31"/>
  <c r="C16" i="34" s="1"/>
  <c r="D65" i="31"/>
  <c r="C17" i="34" s="1"/>
  <c r="D62" i="31"/>
  <c r="C14" i="34" s="1"/>
  <c r="J37" i="33"/>
  <c r="C44"/>
  <c r="K30"/>
  <c r="K37" s="1"/>
  <c r="C51" i="32"/>
  <c r="D45"/>
  <c r="D51" s="1"/>
  <c r="B6" i="34" s="1"/>
  <c r="D45" i="31"/>
  <c r="D51" s="1"/>
  <c r="C6" i="34" s="1"/>
  <c r="H30" i="26"/>
  <c r="D66" i="32" l="1"/>
  <c r="B10" i="34" s="1"/>
  <c r="E45" i="32"/>
  <c r="E51" s="1"/>
  <c r="B7" i="34" s="1"/>
  <c r="D66" i="31"/>
  <c r="C10" i="34" s="1"/>
  <c r="C51" i="33"/>
  <c r="D44"/>
  <c r="D51" s="1"/>
  <c r="E6" i="34" s="1"/>
  <c r="D65" i="33"/>
  <c r="E17" i="34" s="1"/>
  <c r="D63" i="33"/>
  <c r="E15" i="34" s="1"/>
  <c r="D61" i="33"/>
  <c r="E13" i="34" s="1"/>
  <c r="D59" i="33"/>
  <c r="E11" i="34" s="1"/>
  <c r="D64" i="33"/>
  <c r="E16" i="34" s="1"/>
  <c r="D62" i="33"/>
  <c r="E14" i="34" s="1"/>
  <c r="D60" i="33"/>
  <c r="E12" i="34" s="1"/>
  <c r="E45" i="31"/>
  <c r="E51" s="1"/>
  <c r="C7" i="34" s="1"/>
  <c r="I30" i="26"/>
  <c r="E10" i="34" l="1"/>
  <c r="D66" i="33"/>
  <c r="E44"/>
  <c r="E51" s="1"/>
  <c r="E7" i="34" s="1"/>
  <c r="J30" i="26"/>
  <c r="C44" s="1"/>
  <c r="D44" l="1"/>
  <c r="K30"/>
  <c r="E44" l="1"/>
  <c r="C94" i="29"/>
  <c r="C77"/>
  <c r="C76"/>
  <c r="C75"/>
  <c r="C74"/>
  <c r="C73"/>
  <c r="C72"/>
  <c r="C71"/>
  <c r="D36"/>
  <c r="C36"/>
  <c r="E35"/>
  <c r="G35" s="1"/>
  <c r="E34"/>
  <c r="G34" s="1"/>
  <c r="E33"/>
  <c r="G33" s="1"/>
  <c r="E32"/>
  <c r="G32" s="1"/>
  <c r="E31"/>
  <c r="G31" s="1"/>
  <c r="E30"/>
  <c r="G30" s="1"/>
  <c r="C78" l="1"/>
  <c r="D90" s="1"/>
  <c r="F90" s="1"/>
  <c r="H30"/>
  <c r="I30" s="1"/>
  <c r="J30" s="1"/>
  <c r="K30" s="1"/>
  <c r="H32"/>
  <c r="I32" s="1"/>
  <c r="J32" s="1"/>
  <c r="C45" s="1"/>
  <c r="H34"/>
  <c r="I34" s="1"/>
  <c r="J34" s="1"/>
  <c r="C47" s="1"/>
  <c r="G36"/>
  <c r="E36"/>
  <c r="H31"/>
  <c r="I31" s="1"/>
  <c r="H33"/>
  <c r="I33" s="1"/>
  <c r="H35"/>
  <c r="I35" s="1"/>
  <c r="D92" l="1"/>
  <c r="F92" s="1"/>
  <c r="D75"/>
  <c r="D87"/>
  <c r="F87" s="1"/>
  <c r="D72"/>
  <c r="D77"/>
  <c r="C63" s="1"/>
  <c r="I36"/>
  <c r="D76"/>
  <c r="D74"/>
  <c r="D93"/>
  <c r="F93" s="1"/>
  <c r="D89"/>
  <c r="F89" s="1"/>
  <c r="D71"/>
  <c r="E9" s="1"/>
  <c r="D91"/>
  <c r="F91" s="1"/>
  <c r="D73"/>
  <c r="C59" s="1"/>
  <c r="D88"/>
  <c r="F88" s="1"/>
  <c r="K34"/>
  <c r="J33"/>
  <c r="C46" s="1"/>
  <c r="J35"/>
  <c r="C48" s="1"/>
  <c r="K32"/>
  <c r="J31"/>
  <c r="C44" s="1"/>
  <c r="D45"/>
  <c r="E45" s="1"/>
  <c r="C61"/>
  <c r="E13"/>
  <c r="D47"/>
  <c r="E47" s="1"/>
  <c r="C43"/>
  <c r="H36"/>
  <c r="C57" l="1"/>
  <c r="E15"/>
  <c r="E11"/>
  <c r="D78"/>
  <c r="C62"/>
  <c r="E14"/>
  <c r="D94"/>
  <c r="E88" s="1"/>
  <c r="C60"/>
  <c r="E12"/>
  <c r="E10"/>
  <c r="C58"/>
  <c r="J36"/>
  <c r="K35"/>
  <c r="D46"/>
  <c r="E46" s="1"/>
  <c r="E92"/>
  <c r="K33"/>
  <c r="F94"/>
  <c r="D44"/>
  <c r="E44" s="1"/>
  <c r="D43"/>
  <c r="C49"/>
  <c r="D48"/>
  <c r="E48" s="1"/>
  <c r="K31"/>
  <c r="E91"/>
  <c r="E93" l="1"/>
  <c r="E89"/>
  <c r="E90"/>
  <c r="E87"/>
  <c r="D49"/>
  <c r="K36"/>
  <c r="E43"/>
  <c r="E49" s="1"/>
  <c r="C6" i="27" l="1"/>
  <c r="C8" i="34"/>
  <c r="C7" i="27"/>
  <c r="E94" i="29"/>
  <c r="D63"/>
  <c r="D57"/>
  <c r="D62"/>
  <c r="D60"/>
  <c r="D58"/>
  <c r="D61"/>
  <c r="D59"/>
  <c r="C17" i="27" l="1"/>
  <c r="C13"/>
  <c r="C15"/>
  <c r="C16"/>
  <c r="C12"/>
  <c r="C14"/>
  <c r="D64" i="29"/>
  <c r="C11" i="27"/>
  <c r="C8"/>
  <c r="C94" i="28"/>
  <c r="C77"/>
  <c r="C76"/>
  <c r="C75"/>
  <c r="C74"/>
  <c r="C73"/>
  <c r="C72"/>
  <c r="C71"/>
  <c r="D36"/>
  <c r="C36"/>
  <c r="E35"/>
  <c r="G35" s="1"/>
  <c r="E34"/>
  <c r="G34" s="1"/>
  <c r="E33"/>
  <c r="G33" s="1"/>
  <c r="E32"/>
  <c r="G32" s="1"/>
  <c r="E31"/>
  <c r="G31" s="1"/>
  <c r="E30"/>
  <c r="G30" s="1"/>
  <c r="C96" i="26"/>
  <c r="C79"/>
  <c r="C78"/>
  <c r="C77"/>
  <c r="C76"/>
  <c r="C75"/>
  <c r="C74"/>
  <c r="C73"/>
  <c r="E36"/>
  <c r="G36" s="1"/>
  <c r="H36" s="1"/>
  <c r="I36" s="1"/>
  <c r="E35"/>
  <c r="G35" s="1"/>
  <c r="E34"/>
  <c r="G34" s="1"/>
  <c r="H34" s="1"/>
  <c r="I34" s="1"/>
  <c r="E33"/>
  <c r="G33" s="1"/>
  <c r="E32"/>
  <c r="G32" s="1"/>
  <c r="H32" s="1"/>
  <c r="I32" s="1"/>
  <c r="E31"/>
  <c r="Q9" i="25"/>
  <c r="Q17"/>
  <c r="Q16"/>
  <c r="Q15"/>
  <c r="Q14"/>
  <c r="Q11"/>
  <c r="Q10"/>
  <c r="Q8"/>
  <c r="L8"/>
  <c r="F11" i="19"/>
  <c r="H11" s="1"/>
  <c r="I11" s="1"/>
  <c r="J11" s="1"/>
  <c r="N11" s="1"/>
  <c r="F10"/>
  <c r="H10" s="1"/>
  <c r="F9"/>
  <c r="H9" s="1"/>
  <c r="F8"/>
  <c r="H8" s="1"/>
  <c r="I8" s="1"/>
  <c r="J8" s="1"/>
  <c r="N8" s="1"/>
  <c r="F7"/>
  <c r="H7" s="1"/>
  <c r="I7" s="1"/>
  <c r="J7" s="1"/>
  <c r="N7" s="1"/>
  <c r="F6"/>
  <c r="H6" s="1"/>
  <c r="Q30" i="12"/>
  <c r="P31" s="1"/>
  <c r="P32" s="1"/>
  <c r="L30"/>
  <c r="J31" s="1"/>
  <c r="J32" s="1"/>
  <c r="P25"/>
  <c r="O25"/>
  <c r="N25"/>
  <c r="M25"/>
  <c r="K24"/>
  <c r="I24"/>
  <c r="H24"/>
  <c r="P23"/>
  <c r="O23"/>
  <c r="N23"/>
  <c r="M23"/>
  <c r="K22"/>
  <c r="I22"/>
  <c r="H22"/>
  <c r="P21"/>
  <c r="O21"/>
  <c r="N21"/>
  <c r="M21"/>
  <c r="L21"/>
  <c r="P20"/>
  <c r="O20"/>
  <c r="N20"/>
  <c r="M20"/>
  <c r="L20"/>
  <c r="P19"/>
  <c r="O19"/>
  <c r="N19"/>
  <c r="M19"/>
  <c r="Q18"/>
  <c r="K18"/>
  <c r="K26" s="1"/>
  <c r="J18"/>
  <c r="J26" s="1"/>
  <c r="I18"/>
  <c r="I26" s="1"/>
  <c r="H18"/>
  <c r="H26" s="1"/>
  <c r="Q17"/>
  <c r="L17"/>
  <c r="Q16"/>
  <c r="L16"/>
  <c r="Q15"/>
  <c r="L15"/>
  <c r="Q14"/>
  <c r="L14"/>
  <c r="Q13"/>
  <c r="L13"/>
  <c r="Q12"/>
  <c r="L12"/>
  <c r="Q11"/>
  <c r="L11"/>
  <c r="Q10"/>
  <c r="L10"/>
  <c r="Q9"/>
  <c r="L9"/>
  <c r="P8"/>
  <c r="O8"/>
  <c r="N8"/>
  <c r="M8"/>
  <c r="L8"/>
  <c r="L42" i="11"/>
  <c r="I43" s="1"/>
  <c r="I44" s="1"/>
  <c r="Q36"/>
  <c r="P37" s="1"/>
  <c r="P38" s="1"/>
  <c r="L36"/>
  <c r="J40" s="1"/>
  <c r="L24"/>
  <c r="P23"/>
  <c r="O23"/>
  <c r="N23"/>
  <c r="M23"/>
  <c r="P21"/>
  <c r="P24" s="1"/>
  <c r="O21"/>
  <c r="N21"/>
  <c r="N24" s="1"/>
  <c r="M21"/>
  <c r="M24" s="1"/>
  <c r="K18"/>
  <c r="K24" s="1"/>
  <c r="J18"/>
  <c r="J24" s="1"/>
  <c r="I18"/>
  <c r="I24" s="1"/>
  <c r="H18"/>
  <c r="H24" s="1"/>
  <c r="Q17"/>
  <c r="Q16"/>
  <c r="Q15"/>
  <c r="Q14"/>
  <c r="Q13"/>
  <c r="Q12"/>
  <c r="Q11"/>
  <c r="Q10"/>
  <c r="Q9"/>
  <c r="Q8"/>
  <c r="P32" s="1"/>
  <c r="L8"/>
  <c r="G40" i="13"/>
  <c r="T24" s="1"/>
  <c r="D40"/>
  <c r="S23" s="1"/>
  <c r="G39"/>
  <c r="R25" s="1"/>
  <c r="D39"/>
  <c r="Q21" s="1"/>
  <c r="G38"/>
  <c r="P24" s="1"/>
  <c r="D38"/>
  <c r="O24" s="1"/>
  <c r="G37"/>
  <c r="N24" s="1"/>
  <c r="D37"/>
  <c r="M22" s="1"/>
  <c r="G36"/>
  <c r="L23" s="1"/>
  <c r="D36"/>
  <c r="K22" s="1"/>
  <c r="G35"/>
  <c r="J25" s="1"/>
  <c r="D35"/>
  <c r="G34"/>
  <c r="H23" s="1"/>
  <c r="D34"/>
  <c r="G24" s="1"/>
  <c r="E25"/>
  <c r="F25" s="1"/>
  <c r="C25"/>
  <c r="D25" s="1"/>
  <c r="E24"/>
  <c r="F24" s="1"/>
  <c r="C24"/>
  <c r="D24" s="1"/>
  <c r="E23"/>
  <c r="F23" s="1"/>
  <c r="C23"/>
  <c r="D23" s="1"/>
  <c r="E22"/>
  <c r="F22" s="1"/>
  <c r="C22"/>
  <c r="D22" s="1"/>
  <c r="E21"/>
  <c r="C21"/>
  <c r="G10"/>
  <c r="F10"/>
  <c r="E10"/>
  <c r="D10"/>
  <c r="C10"/>
  <c r="H9"/>
  <c r="H8"/>
  <c r="H7"/>
  <c r="C94" i="24"/>
  <c r="C77"/>
  <c r="C76"/>
  <c r="C75"/>
  <c r="C74"/>
  <c r="C73"/>
  <c r="C72"/>
  <c r="C71"/>
  <c r="D36"/>
  <c r="C36"/>
  <c r="E35"/>
  <c r="E34"/>
  <c r="E33"/>
  <c r="G33" s="1"/>
  <c r="E32"/>
  <c r="G32" s="1"/>
  <c r="E31"/>
  <c r="G31" s="1"/>
  <c r="E30"/>
  <c r="C94" i="22"/>
  <c r="C77"/>
  <c r="C76"/>
  <c r="C75"/>
  <c r="C74"/>
  <c r="C73"/>
  <c r="C72"/>
  <c r="C71"/>
  <c r="D36"/>
  <c r="C36"/>
  <c r="E35"/>
  <c r="G35" s="1"/>
  <c r="E34"/>
  <c r="G34" s="1"/>
  <c r="E33"/>
  <c r="G33" s="1"/>
  <c r="E32"/>
  <c r="G32" s="1"/>
  <c r="E31"/>
  <c r="E30"/>
  <c r="C94" i="21"/>
  <c r="C77"/>
  <c r="C76"/>
  <c r="C75"/>
  <c r="C74"/>
  <c r="C73"/>
  <c r="C72"/>
  <c r="C71"/>
  <c r="C36"/>
  <c r="D35"/>
  <c r="D36" s="1"/>
  <c r="E34"/>
  <c r="G34" s="1"/>
  <c r="H34" s="1"/>
  <c r="I34" s="1"/>
  <c r="E33"/>
  <c r="E32"/>
  <c r="G32" s="1"/>
  <c r="H32" s="1"/>
  <c r="I32" s="1"/>
  <c r="J32" s="1"/>
  <c r="C45" s="1"/>
  <c r="E31"/>
  <c r="G31" s="1"/>
  <c r="E30"/>
  <c r="G30" s="1"/>
  <c r="N31" i="12"/>
  <c r="N32" s="1"/>
  <c r="H30" i="21"/>
  <c r="I30" s="1"/>
  <c r="I31" i="12"/>
  <c r="I32" s="1"/>
  <c r="Q24" i="25"/>
  <c r="M25" i="13" l="1"/>
  <c r="J22"/>
  <c r="Q22"/>
  <c r="I25"/>
  <c r="R24"/>
  <c r="I23"/>
  <c r="G21"/>
  <c r="K24"/>
  <c r="R23"/>
  <c r="J24"/>
  <c r="R22"/>
  <c r="J23"/>
  <c r="I24"/>
  <c r="O37" i="11"/>
  <c r="O38" s="1"/>
  <c r="N37"/>
  <c r="N38" s="1"/>
  <c r="M33"/>
  <c r="E26" i="13"/>
  <c r="C10" i="27"/>
  <c r="H40" i="11"/>
  <c r="N25" i="13"/>
  <c r="K8" i="19"/>
  <c r="L8" s="1"/>
  <c r="N32" i="11"/>
  <c r="M24" i="13"/>
  <c r="P25"/>
  <c r="C78" i="24"/>
  <c r="D76" s="1"/>
  <c r="S24" i="13"/>
  <c r="H25"/>
  <c r="K43" i="11"/>
  <c r="K44" s="1"/>
  <c r="G25" i="13"/>
  <c r="M26" i="12"/>
  <c r="E36" i="22"/>
  <c r="K23" i="13"/>
  <c r="H31" i="12"/>
  <c r="H32" s="1"/>
  <c r="P26"/>
  <c r="Q24" i="11"/>
  <c r="J30" i="21"/>
  <c r="C43" s="1"/>
  <c r="D43" s="1"/>
  <c r="E43" s="1"/>
  <c r="Q24" i="13"/>
  <c r="M21"/>
  <c r="C78" i="21"/>
  <c r="D89" s="1"/>
  <c r="F89" s="1"/>
  <c r="G22" i="13"/>
  <c r="M37" i="11"/>
  <c r="M38" s="1"/>
  <c r="Q38" s="1"/>
  <c r="J43"/>
  <c r="J44" s="1"/>
  <c r="L26" i="12"/>
  <c r="O24" i="11"/>
  <c r="M8" i="19"/>
  <c r="M23" i="13"/>
  <c r="O21"/>
  <c r="O25"/>
  <c r="Q8" i="12"/>
  <c r="Q26"/>
  <c r="N26"/>
  <c r="D76" i="21"/>
  <c r="D87"/>
  <c r="F87" s="1"/>
  <c r="J34"/>
  <c r="C47" s="1"/>
  <c r="D47" s="1"/>
  <c r="E47" s="1"/>
  <c r="G31" i="26"/>
  <c r="G37" s="1"/>
  <c r="E37"/>
  <c r="K37" i="11"/>
  <c r="K38" s="1"/>
  <c r="L24" i="13"/>
  <c r="H31" i="21"/>
  <c r="I31" s="1"/>
  <c r="J31" s="1"/>
  <c r="C44" s="1"/>
  <c r="P22" i="13"/>
  <c r="P23"/>
  <c r="I40" i="11"/>
  <c r="O26" i="12"/>
  <c r="D89" i="24"/>
  <c r="F89" s="1"/>
  <c r="J37" i="11"/>
  <c r="J38" s="1"/>
  <c r="T25" i="13"/>
  <c r="L25"/>
  <c r="H24"/>
  <c r="E35" i="21"/>
  <c r="G35" s="1"/>
  <c r="M31" i="12"/>
  <c r="M32" s="1"/>
  <c r="K7" i="19"/>
  <c r="G31" i="22"/>
  <c r="H31" s="1"/>
  <c r="I31" s="1"/>
  <c r="H32"/>
  <c r="I32" s="1"/>
  <c r="H31" i="24"/>
  <c r="I31" s="1"/>
  <c r="J31" s="1"/>
  <c r="C44" s="1"/>
  <c r="H10" i="13"/>
  <c r="S21"/>
  <c r="F26"/>
  <c r="O22"/>
  <c r="T22"/>
  <c r="O23"/>
  <c r="T23"/>
  <c r="K25"/>
  <c r="S25"/>
  <c r="O33" i="11"/>
  <c r="H43"/>
  <c r="H44" s="1"/>
  <c r="H32" i="24"/>
  <c r="I32" s="1"/>
  <c r="J32" s="1"/>
  <c r="C45" s="1"/>
  <c r="O31" i="12"/>
  <c r="O32" s="1"/>
  <c r="K11" i="19"/>
  <c r="G35" i="24"/>
  <c r="H35" s="1"/>
  <c r="I35" s="1"/>
  <c r="J35" s="1"/>
  <c r="C48" s="1"/>
  <c r="N22" i="13"/>
  <c r="S22"/>
  <c r="G23"/>
  <c r="N23"/>
  <c r="K40" i="11"/>
  <c r="G36" i="28"/>
  <c r="H31"/>
  <c r="I31" s="1"/>
  <c r="H33"/>
  <c r="I33" s="1"/>
  <c r="H35"/>
  <c r="I35" s="1"/>
  <c r="H30"/>
  <c r="H32"/>
  <c r="I32" s="1"/>
  <c r="H34"/>
  <c r="I34" s="1"/>
  <c r="E36"/>
  <c r="C78"/>
  <c r="D74" s="1"/>
  <c r="J34" i="26"/>
  <c r="C48" s="1"/>
  <c r="J32"/>
  <c r="C46" s="1"/>
  <c r="J36"/>
  <c r="C50" s="1"/>
  <c r="H33"/>
  <c r="I33" s="1"/>
  <c r="H35"/>
  <c r="I35" s="1"/>
  <c r="C80"/>
  <c r="D73" s="1"/>
  <c r="D45" i="21"/>
  <c r="E45" s="1"/>
  <c r="D77"/>
  <c r="H33" i="24"/>
  <c r="I33" s="1"/>
  <c r="D26" i="13"/>
  <c r="C26"/>
  <c r="I22"/>
  <c r="I21"/>
  <c r="Q25"/>
  <c r="Q23"/>
  <c r="G30" i="22"/>
  <c r="K32" i="21"/>
  <c r="H34" i="22"/>
  <c r="I34" s="1"/>
  <c r="D93" i="21"/>
  <c r="G30" i="24"/>
  <c r="E36"/>
  <c r="G34"/>
  <c r="H34" s="1"/>
  <c r="I34" s="1"/>
  <c r="D72" i="21"/>
  <c r="G33"/>
  <c r="H33" i="22"/>
  <c r="I33" s="1"/>
  <c r="H35"/>
  <c r="I35" s="1"/>
  <c r="C78"/>
  <c r="D71" s="1"/>
  <c r="O32" i="11"/>
  <c r="K31" i="12"/>
  <c r="K32" s="1"/>
  <c r="Q12" i="25"/>
  <c r="M32" i="11"/>
  <c r="L22" i="13"/>
  <c r="H22"/>
  <c r="K21"/>
  <c r="N33" i="11"/>
  <c r="P33"/>
  <c r="I37"/>
  <c r="I38" s="1"/>
  <c r="I6" i="19"/>
  <c r="J6" s="1"/>
  <c r="I9"/>
  <c r="J9" s="1"/>
  <c r="I10"/>
  <c r="J10" s="1"/>
  <c r="Q13" i="25"/>
  <c r="H37" i="11"/>
  <c r="H38" s="1"/>
  <c r="D74" i="24" l="1"/>
  <c r="E12" s="1"/>
  <c r="D92"/>
  <c r="D90"/>
  <c r="F90" s="1"/>
  <c r="D71" i="21"/>
  <c r="C57" s="1"/>
  <c r="D90"/>
  <c r="F90" s="1"/>
  <c r="E36"/>
  <c r="R26" i="13"/>
  <c r="J26"/>
  <c r="D74" i="21"/>
  <c r="E12" s="1"/>
  <c r="D75"/>
  <c r="E13" s="1"/>
  <c r="G36" i="22"/>
  <c r="L44" i="11"/>
  <c r="G36" i="21"/>
  <c r="D91"/>
  <c r="F91" s="1"/>
  <c r="H35"/>
  <c r="I35" s="1"/>
  <c r="J35" s="1"/>
  <c r="C48" s="1"/>
  <c r="D73"/>
  <c r="C59" s="1"/>
  <c r="D88"/>
  <c r="F88" s="1"/>
  <c r="D92"/>
  <c r="F92" s="1"/>
  <c r="L32" i="12"/>
  <c r="D75" i="24"/>
  <c r="C61" s="1"/>
  <c r="P26" i="13"/>
  <c r="T26"/>
  <c r="E14" i="24"/>
  <c r="C62"/>
  <c r="D72"/>
  <c r="E10" s="1"/>
  <c r="D71"/>
  <c r="C57" s="1"/>
  <c r="D88"/>
  <c r="F88" s="1"/>
  <c r="D73"/>
  <c r="C59" s="1"/>
  <c r="D87"/>
  <c r="F87" s="1"/>
  <c r="D91"/>
  <c r="F91" s="1"/>
  <c r="D77"/>
  <c r="E15" s="1"/>
  <c r="D93"/>
  <c r="F93" s="1"/>
  <c r="K30" i="21"/>
  <c r="Q32" i="25"/>
  <c r="G26" i="13"/>
  <c r="U24"/>
  <c r="O26"/>
  <c r="L26"/>
  <c r="K32" i="24"/>
  <c r="D73" i="28"/>
  <c r="E11" s="1"/>
  <c r="N26" i="13"/>
  <c r="M26"/>
  <c r="Q26"/>
  <c r="Q32" i="12"/>
  <c r="U23" i="13"/>
  <c r="K34" i="21"/>
  <c r="J31" i="22"/>
  <c r="C44" s="1"/>
  <c r="C63" i="24"/>
  <c r="L11" i="19"/>
  <c r="M11"/>
  <c r="C62" i="21"/>
  <c r="E14"/>
  <c r="K31"/>
  <c r="L38" i="11"/>
  <c r="K26" i="13"/>
  <c r="D72" i="28"/>
  <c r="C58" s="1"/>
  <c r="S26" i="13"/>
  <c r="L7" i="19"/>
  <c r="M7"/>
  <c r="D45" i="24"/>
  <c r="E45" s="1"/>
  <c r="J32" i="22"/>
  <c r="C45" s="1"/>
  <c r="H30"/>
  <c r="I30" s="1"/>
  <c r="U25" i="13"/>
  <c r="H31" i="26"/>
  <c r="H37" s="1"/>
  <c r="D71" i="28"/>
  <c r="E9" s="1"/>
  <c r="K34" i="26"/>
  <c r="K36"/>
  <c r="C60" i="28"/>
  <c r="E12"/>
  <c r="J32"/>
  <c r="C45" s="1"/>
  <c r="J31"/>
  <c r="C44" s="1"/>
  <c r="J34"/>
  <c r="C47" s="1"/>
  <c r="J33"/>
  <c r="C46" s="1"/>
  <c r="D76"/>
  <c r="J35"/>
  <c r="C48" s="1"/>
  <c r="D90"/>
  <c r="D93"/>
  <c r="D89"/>
  <c r="D92"/>
  <c r="D88"/>
  <c r="D91"/>
  <c r="D87"/>
  <c r="I30"/>
  <c r="H36"/>
  <c r="D75"/>
  <c r="D77"/>
  <c r="C59" i="26"/>
  <c r="E9"/>
  <c r="J35"/>
  <c r="C49" s="1"/>
  <c r="D48"/>
  <c r="E48" s="1"/>
  <c r="D77"/>
  <c r="D74"/>
  <c r="D76"/>
  <c r="D78"/>
  <c r="K32"/>
  <c r="D92"/>
  <c r="D95"/>
  <c r="D91"/>
  <c r="D94"/>
  <c r="D90"/>
  <c r="D93"/>
  <c r="D89"/>
  <c r="J33"/>
  <c r="C47" s="1"/>
  <c r="D46"/>
  <c r="E46" s="1"/>
  <c r="D50"/>
  <c r="E50" s="1"/>
  <c r="D79"/>
  <c r="D75"/>
  <c r="E9" i="22"/>
  <c r="C57"/>
  <c r="J34" i="24"/>
  <c r="C47" s="1"/>
  <c r="F92"/>
  <c r="U22" i="13"/>
  <c r="H26"/>
  <c r="J33" i="22"/>
  <c r="C46" s="1"/>
  <c r="J34"/>
  <c r="C47" s="1"/>
  <c r="H36"/>
  <c r="H33" i="21"/>
  <c r="K31" i="24"/>
  <c r="K6" i="19"/>
  <c r="J12"/>
  <c r="N6"/>
  <c r="J35" i="22"/>
  <c r="C48" s="1"/>
  <c r="C58" i="21"/>
  <c r="E10"/>
  <c r="J33" i="24"/>
  <c r="C46" s="1"/>
  <c r="D44"/>
  <c r="E44" s="1"/>
  <c r="K35"/>
  <c r="K9" i="19"/>
  <c r="N9"/>
  <c r="D90" i="22"/>
  <c r="D88"/>
  <c r="D72"/>
  <c r="D77"/>
  <c r="D87"/>
  <c r="D74"/>
  <c r="D91"/>
  <c r="D92"/>
  <c r="D73"/>
  <c r="D93"/>
  <c r="D75"/>
  <c r="D89"/>
  <c r="D76"/>
  <c r="F93" i="21"/>
  <c r="D48" i="24"/>
  <c r="E48" s="1"/>
  <c r="K10" i="19"/>
  <c r="N10"/>
  <c r="G36" i="24"/>
  <c r="H30"/>
  <c r="C58"/>
  <c r="I26" i="13"/>
  <c r="U21"/>
  <c r="E15" i="21"/>
  <c r="C63"/>
  <c r="D44"/>
  <c r="D94" l="1"/>
  <c r="E91" s="1"/>
  <c r="E11"/>
  <c r="C60" i="24"/>
  <c r="E9" i="21"/>
  <c r="E11" i="24"/>
  <c r="E13"/>
  <c r="C61" i="21"/>
  <c r="D78"/>
  <c r="C60"/>
  <c r="D78" i="24"/>
  <c r="E9"/>
  <c r="I31" i="26"/>
  <c r="I37" s="1"/>
  <c r="D94" i="24"/>
  <c r="E92" s="1"/>
  <c r="K32" i="22"/>
  <c r="C59" i="28"/>
  <c r="K35" i="21"/>
  <c r="K34" i="24"/>
  <c r="D78" i="22"/>
  <c r="C57" i="28"/>
  <c r="K31" i="22"/>
  <c r="F94" i="24"/>
  <c r="D80" i="26"/>
  <c r="K33" i="28"/>
  <c r="E10"/>
  <c r="D44" i="22"/>
  <c r="E44" s="1"/>
  <c r="D45"/>
  <c r="E45" s="1"/>
  <c r="U26" i="13"/>
  <c r="K33" i="24"/>
  <c r="F94" i="21"/>
  <c r="E91" i="24"/>
  <c r="K33" i="22"/>
  <c r="K31" i="28"/>
  <c r="I36"/>
  <c r="J30"/>
  <c r="K30" s="1"/>
  <c r="F92"/>
  <c r="D45"/>
  <c r="E45" s="1"/>
  <c r="F88"/>
  <c r="F90"/>
  <c r="E14"/>
  <c r="C62"/>
  <c r="D44"/>
  <c r="E44" s="1"/>
  <c r="K34"/>
  <c r="C61"/>
  <c r="E13"/>
  <c r="F91"/>
  <c r="F93"/>
  <c r="D48"/>
  <c r="E48" s="1"/>
  <c r="D47"/>
  <c r="E47" s="1"/>
  <c r="C63"/>
  <c r="E15"/>
  <c r="D94"/>
  <c r="E91" s="1"/>
  <c r="F87"/>
  <c r="F89"/>
  <c r="D46"/>
  <c r="E46" s="1"/>
  <c r="D78"/>
  <c r="K35"/>
  <c r="K32"/>
  <c r="F92" i="26"/>
  <c r="F95"/>
  <c r="C61"/>
  <c r="E11"/>
  <c r="D96"/>
  <c r="E89" s="1"/>
  <c r="F89"/>
  <c r="F91"/>
  <c r="E14"/>
  <c r="C64"/>
  <c r="D47"/>
  <c r="E47" s="1"/>
  <c r="F90"/>
  <c r="E10"/>
  <c r="C60"/>
  <c r="D49"/>
  <c r="E49" s="1"/>
  <c r="C65"/>
  <c r="E15"/>
  <c r="F93"/>
  <c r="C62"/>
  <c r="E12"/>
  <c r="F94"/>
  <c r="C63"/>
  <c r="E13"/>
  <c r="K33"/>
  <c r="K35"/>
  <c r="F89" i="22"/>
  <c r="E15"/>
  <c r="C63"/>
  <c r="H36" i="21"/>
  <c r="I33"/>
  <c r="D47" i="22"/>
  <c r="E47" s="1"/>
  <c r="E88" i="24"/>
  <c r="E89"/>
  <c r="E87"/>
  <c r="F92" i="22"/>
  <c r="C62"/>
  <c r="E14"/>
  <c r="E11"/>
  <c r="C59"/>
  <c r="F87"/>
  <c r="D94"/>
  <c r="E92" s="1"/>
  <c r="F90"/>
  <c r="D46" i="24"/>
  <c r="E46" s="1"/>
  <c r="I36" i="22"/>
  <c r="J30"/>
  <c r="K30" s="1"/>
  <c r="D47" i="24"/>
  <c r="E47" s="1"/>
  <c r="K35" i="22"/>
  <c r="I30" i="24"/>
  <c r="H36"/>
  <c r="F93" i="22"/>
  <c r="E12"/>
  <c r="C60"/>
  <c r="F88"/>
  <c r="D48"/>
  <c r="E48" s="1"/>
  <c r="L6" i="19"/>
  <c r="M6"/>
  <c r="M10"/>
  <c r="L10"/>
  <c r="C61" i="22"/>
  <c r="E13"/>
  <c r="F91"/>
  <c r="E10"/>
  <c r="C58"/>
  <c r="L9" i="19"/>
  <c r="M9"/>
  <c r="D48" i="21"/>
  <c r="E48" s="1"/>
  <c r="E89"/>
  <c r="E87"/>
  <c r="E92"/>
  <c r="K12" i="19"/>
  <c r="N12"/>
  <c r="D46" i="22"/>
  <c r="E46" s="1"/>
  <c r="E44" i="21"/>
  <c r="K34" i="22"/>
  <c r="E88" i="21" l="1"/>
  <c r="E94" s="1"/>
  <c r="E90"/>
  <c r="E93"/>
  <c r="E91" i="22"/>
  <c r="E11" i="4"/>
  <c r="G11" s="1"/>
  <c r="E93" i="26"/>
  <c r="E90" i="24"/>
  <c r="J31" i="26"/>
  <c r="J37" s="1"/>
  <c r="E93" i="24"/>
  <c r="E89" i="22"/>
  <c r="E88"/>
  <c r="E93"/>
  <c r="E90"/>
  <c r="E87"/>
  <c r="E89" i="28"/>
  <c r="E87"/>
  <c r="E93"/>
  <c r="E88"/>
  <c r="E92"/>
  <c r="J36"/>
  <c r="C43"/>
  <c r="E90"/>
  <c r="K36"/>
  <c r="F94"/>
  <c r="E95" i="26"/>
  <c r="E90"/>
  <c r="E91"/>
  <c r="E92"/>
  <c r="E94"/>
  <c r="F96"/>
  <c r="L12" i="19"/>
  <c r="M12"/>
  <c r="J36" i="22"/>
  <c r="C43"/>
  <c r="F94"/>
  <c r="J30" i="24"/>
  <c r="K30" s="1"/>
  <c r="K36" s="1"/>
  <c r="I36"/>
  <c r="J33" i="21"/>
  <c r="I36"/>
  <c r="K36" i="22"/>
  <c r="E94" i="24" l="1"/>
  <c r="C45" i="26"/>
  <c r="C51" s="1"/>
  <c r="K31"/>
  <c r="K37" s="1"/>
  <c r="D63" s="1"/>
  <c r="E94" i="22"/>
  <c r="E94" i="28"/>
  <c r="E96" i="26"/>
  <c r="D63" i="28"/>
  <c r="D61"/>
  <c r="D59"/>
  <c r="D57"/>
  <c r="D11" i="34" s="1"/>
  <c r="D62" i="28"/>
  <c r="D60"/>
  <c r="D58"/>
  <c r="D43"/>
  <c r="D49" s="1"/>
  <c r="C49"/>
  <c r="D61" i="26"/>
  <c r="D60"/>
  <c r="D58" i="24"/>
  <c r="E12" i="23" s="1"/>
  <c r="D61" i="24"/>
  <c r="E15" i="23" s="1"/>
  <c r="D62" i="24"/>
  <c r="E16" i="23" s="1"/>
  <c r="D63" i="24"/>
  <c r="E17" i="23" s="1"/>
  <c r="D57" i="24"/>
  <c r="D60"/>
  <c r="E14" i="23" s="1"/>
  <c r="D59" i="24"/>
  <c r="E13" i="23" s="1"/>
  <c r="C49" i="22"/>
  <c r="D43"/>
  <c r="D49" s="1"/>
  <c r="B6" i="23" s="1"/>
  <c r="D61" i="22"/>
  <c r="B15" i="23" s="1"/>
  <c r="D60" i="22"/>
  <c r="B14" i="23" s="1"/>
  <c r="D59" i="22"/>
  <c r="D13" i="34" s="1"/>
  <c r="D63" i="22"/>
  <c r="B17" i="23" s="1"/>
  <c r="D62" i="22"/>
  <c r="B16" i="23" s="1"/>
  <c r="D57" i="22"/>
  <c r="D58"/>
  <c r="B12" i="23" s="1"/>
  <c r="C46" i="21"/>
  <c r="J36"/>
  <c r="J36" i="24"/>
  <c r="C43"/>
  <c r="K33" i="21"/>
  <c r="K36" s="1"/>
  <c r="D45" i="26" l="1"/>
  <c r="D51" s="1"/>
  <c r="B6" i="27"/>
  <c r="D6" s="1"/>
  <c r="E13"/>
  <c r="B15"/>
  <c r="D15" s="1"/>
  <c r="D15" i="34"/>
  <c r="F15" s="1"/>
  <c r="F13"/>
  <c r="B12" i="27"/>
  <c r="D12" s="1"/>
  <c r="D12" i="34"/>
  <c r="B17" i="27"/>
  <c r="D17" s="1"/>
  <c r="D17" i="34"/>
  <c r="F17" s="1"/>
  <c r="B14" i="27"/>
  <c r="D14" s="1"/>
  <c r="D14" i="34"/>
  <c r="B16" i="27"/>
  <c r="D16" s="1"/>
  <c r="D16" i="34"/>
  <c r="F16" s="1"/>
  <c r="E15" i="27"/>
  <c r="E12"/>
  <c r="D64" i="26"/>
  <c r="D65"/>
  <c r="D59"/>
  <c r="D62"/>
  <c r="B13" i="23"/>
  <c r="B13" i="27"/>
  <c r="D13" s="1"/>
  <c r="E43" i="22"/>
  <c r="E49" s="1"/>
  <c r="B7" i="23" s="1"/>
  <c r="B8" s="1"/>
  <c r="D64" i="28"/>
  <c r="B11" i="27"/>
  <c r="D11" s="1"/>
  <c r="E43" i="28"/>
  <c r="E49" s="1"/>
  <c r="E11" i="23"/>
  <c r="D64" i="24"/>
  <c r="E10" i="23" s="1"/>
  <c r="D43" i="24"/>
  <c r="D49" s="1"/>
  <c r="E6" i="23" s="1"/>
  <c r="C49" i="24"/>
  <c r="D58" i="21"/>
  <c r="C12" i="23" s="1"/>
  <c r="D12" s="1"/>
  <c r="F12" s="1"/>
  <c r="D60" i="21"/>
  <c r="C14" i="23" s="1"/>
  <c r="D14" s="1"/>
  <c r="F14" s="1"/>
  <c r="D59" i="21"/>
  <c r="C13" i="23" s="1"/>
  <c r="D62" i="21"/>
  <c r="C16" i="23" s="1"/>
  <c r="D16" s="1"/>
  <c r="F16" s="1"/>
  <c r="D61" i="21"/>
  <c r="C15" i="23" s="1"/>
  <c r="D15" s="1"/>
  <c r="F15" s="1"/>
  <c r="D57" i="21"/>
  <c r="D63"/>
  <c r="C17" i="23" s="1"/>
  <c r="D17" s="1"/>
  <c r="F17" s="1"/>
  <c r="D46" i="21"/>
  <c r="D49" s="1"/>
  <c r="C6" i="23" s="1"/>
  <c r="C49" i="21"/>
  <c r="D64" i="22"/>
  <c r="B10" i="23" s="1"/>
  <c r="B11"/>
  <c r="F13" i="27" l="1"/>
  <c r="E45" i="26"/>
  <c r="F15" i="27"/>
  <c r="F12"/>
  <c r="E11"/>
  <c r="F11" s="1"/>
  <c r="F11" i="34"/>
  <c r="B7" i="27"/>
  <c r="D7" s="1"/>
  <c r="D8" s="1"/>
  <c r="D7" i="34"/>
  <c r="D10"/>
  <c r="F14"/>
  <c r="E16" i="27"/>
  <c r="F16" s="1"/>
  <c r="B10"/>
  <c r="E6"/>
  <c r="F6" s="1"/>
  <c r="E17"/>
  <c r="F17" s="1"/>
  <c r="D6" i="34"/>
  <c r="E14" i="27"/>
  <c r="F14" s="1"/>
  <c r="F12" i="34"/>
  <c r="D13" i="23"/>
  <c r="F13" s="1"/>
  <c r="D66" i="26"/>
  <c r="E43" i="24"/>
  <c r="E49" s="1"/>
  <c r="E7" i="23" s="1"/>
  <c r="E8" s="1"/>
  <c r="E51" i="26"/>
  <c r="D10" i="27"/>
  <c r="C11" i="23"/>
  <c r="D11" s="1"/>
  <c r="F11" s="1"/>
  <c r="D64" i="21"/>
  <c r="C10" i="23" s="1"/>
  <c r="D10" s="1"/>
  <c r="F10" s="1"/>
  <c r="D6"/>
  <c r="E46" i="21"/>
  <c r="E49" s="1"/>
  <c r="C7" i="23" s="1"/>
  <c r="D7" s="1"/>
  <c r="F7" l="1"/>
  <c r="B8" i="27"/>
  <c r="F7" i="34"/>
  <c r="E10" i="27"/>
  <c r="F10" i="34"/>
  <c r="D8"/>
  <c r="F6"/>
  <c r="F8" s="1"/>
  <c r="F10" i="27"/>
  <c r="E7"/>
  <c r="E8" i="34"/>
  <c r="B8"/>
  <c r="E8" i="27"/>
  <c r="F7"/>
  <c r="F8" s="1"/>
  <c r="C8" i="23"/>
  <c r="F6"/>
  <c r="F8" s="1"/>
  <c r="D8"/>
  <c r="J32" i="25" l="1"/>
  <c r="H32"/>
  <c r="L27"/>
  <c r="I32"/>
  <c r="L26"/>
  <c r="K32"/>
  <c r="L32" l="1"/>
</calcChain>
</file>

<file path=xl/comments1.xml><?xml version="1.0" encoding="utf-8"?>
<comments xmlns="http://schemas.openxmlformats.org/spreadsheetml/2006/main">
  <authors>
    <author>Aruni</author>
  </authors>
  <commentList>
    <comment ref="C30" authorId="0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l</t>
        </r>
        <r>
          <rPr>
            <sz val="9"/>
            <color indexed="81"/>
            <rFont val="Times New Roman"/>
            <family val="1"/>
          </rPr>
          <t>etter no S-31011/03/2014-SO (ST) Pt-I Ministry of Finance Dept of Revenue. Dated 29 th August 2017 regarding base year 2015-16 revenue under GST 
VAT- 172.65 cr 
CST- 17.47 cr
 if 14 % over 2015-16 and 2016-17 given then 172.65 ( 1+ 14/100)</t>
        </r>
        <r>
          <rPr>
            <sz val="5"/>
            <color indexed="81"/>
            <rFont val="Times New Roman"/>
            <family val="1"/>
          </rPr>
          <t xml:space="preserve"> 2 </t>
        </r>
        <r>
          <rPr>
            <sz val="9"/>
            <color indexed="81"/>
            <rFont val="Times New Roman"/>
            <family val="1"/>
          </rPr>
          <t xml:space="preserve">  similarly to 17.47 crore then
GST for VAT during 2018-19= 255.78 cr tentative 
GST for CST during 2018-19=    25.86 cr tentative
2530697 is arrived at by taking 14 % of 2219910 ( GST of 2017-18)</t>
        </r>
      </text>
    </comment>
  </commentList>
</comments>
</file>

<file path=xl/comments2.xml><?xml version="1.0" encoding="utf-8"?>
<comments xmlns="http://schemas.openxmlformats.org/spreadsheetml/2006/main">
  <authors>
    <author>Aruni</author>
  </authors>
  <commentList>
    <comment ref="C30" authorId="0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l</t>
        </r>
        <r>
          <rPr>
            <sz val="9"/>
            <color indexed="81"/>
            <rFont val="Times New Roman"/>
            <family val="1"/>
          </rPr>
          <t>etter no S-31011/03/2014-SO (ST) Pt-I Ministry of Finance Dept of Revenue. Dated 29 th August 2017 regarding base year 2015-16 revenue under GST 
VAT- 172.65 cr 
CST- 17.47 cr
 if 14 % over 2015-16 and 2016-17 given then 172.65 ( 1+ 14/100)</t>
        </r>
        <r>
          <rPr>
            <sz val="5"/>
            <color indexed="81"/>
            <rFont val="Times New Roman"/>
            <family val="1"/>
          </rPr>
          <t xml:space="preserve"> 2 </t>
        </r>
        <r>
          <rPr>
            <sz val="9"/>
            <color indexed="81"/>
            <rFont val="Times New Roman"/>
            <family val="1"/>
          </rPr>
          <t xml:space="preserve">  similarly to 17.47 crore then
GST for VAT during 2018-19= 255.78 cr tentative 
GST for CST during 2018-19=    25.86 cr tentative
2530697 is arrived at by taking 14 % of 2219910 ( GST of 2017-18)</t>
        </r>
      </text>
    </comment>
  </commentList>
</comments>
</file>

<file path=xl/sharedStrings.xml><?xml version="1.0" encoding="utf-8"?>
<sst xmlns="http://schemas.openxmlformats.org/spreadsheetml/2006/main" count="2080" uniqueCount="337">
  <si>
    <t>Other Rural Development Programme</t>
  </si>
  <si>
    <t>Voted</t>
  </si>
  <si>
    <t>Major /Sub-Major/Minor/Sub/Detailed Heads</t>
  </si>
  <si>
    <t>Total</t>
  </si>
  <si>
    <t>REVENUE SECTION</t>
  </si>
  <si>
    <t>M.H.</t>
  </si>
  <si>
    <t>Assistance to Gram Panchayats</t>
  </si>
  <si>
    <t>II. Details of the estimates and the heads under which this grant will be accounted for:</t>
  </si>
  <si>
    <t>Revenue</t>
  </si>
  <si>
    <t>Capital</t>
  </si>
  <si>
    <t>A -General Services (a) Organs of State</t>
  </si>
  <si>
    <t>Election</t>
  </si>
  <si>
    <t>MH</t>
  </si>
  <si>
    <t>General Education</t>
  </si>
  <si>
    <t>East District</t>
  </si>
  <si>
    <t>West District</t>
  </si>
  <si>
    <t>North District</t>
  </si>
  <si>
    <t>South District</t>
  </si>
  <si>
    <t>Primary Schools</t>
  </si>
  <si>
    <t>Junior High Schools</t>
  </si>
  <si>
    <t>Other Charges</t>
  </si>
  <si>
    <t>Election Commission</t>
  </si>
  <si>
    <t>State Election Commission</t>
  </si>
  <si>
    <t>60.00.01</t>
  </si>
  <si>
    <t>Salaries</t>
  </si>
  <si>
    <t>60.00.11</t>
  </si>
  <si>
    <t>Travel Expenses</t>
  </si>
  <si>
    <t>60.00.13</t>
  </si>
  <si>
    <t>Office Expenses</t>
  </si>
  <si>
    <t>60.00.16</t>
  </si>
  <si>
    <t>Publications</t>
  </si>
  <si>
    <t>60.00.50</t>
  </si>
  <si>
    <t>Charges for Conduct of Election to Panchayats/ Local Bodies</t>
  </si>
  <si>
    <t>Conduct of Election to Panchayat</t>
  </si>
  <si>
    <t>61.00.11</t>
  </si>
  <si>
    <t>61.00.50</t>
  </si>
  <si>
    <t>62.00.11</t>
  </si>
  <si>
    <t>62.00.50</t>
  </si>
  <si>
    <t>Head Office Establishment</t>
  </si>
  <si>
    <t>Panchayati Raj</t>
  </si>
  <si>
    <t>00.44.01</t>
  </si>
  <si>
    <t>00.44.11</t>
  </si>
  <si>
    <t>00.44.13</t>
  </si>
  <si>
    <t>00.44.50</t>
  </si>
  <si>
    <t>00.45.01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</si>
  <si>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</si>
  <si>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</si>
  <si>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</si>
  <si>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</si>
  <si>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</si>
  <si>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</si>
  <si>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</si>
  <si>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</si>
  <si>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</si>
  <si>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Grants to Zilla Parishads for Administrative Expenses</t>
  </si>
  <si>
    <t>Grants to Gram  Panchayats for Administrative Expenses</t>
  </si>
  <si>
    <t>Grants to Gram Panchayats for Administrative Expenses</t>
  </si>
  <si>
    <t>B-Social Services, (a) Education, Sports Art and Culture</t>
  </si>
  <si>
    <t>Compensation and Assignments to Local Bodies and Panchayati Raj Institutions</t>
  </si>
  <si>
    <t>Land Revenue</t>
  </si>
  <si>
    <t>Zilla Panchayat</t>
  </si>
  <si>
    <t>Gram Panchayat</t>
  </si>
  <si>
    <t>Other Miscellaneous Compensations and Assignments</t>
  </si>
  <si>
    <t>D. Grants-In-Aid and Contributions</t>
  </si>
  <si>
    <t>TOTAL</t>
  </si>
  <si>
    <t>actual collection charges</t>
  </si>
  <si>
    <t>Gangtok Municipal</t>
  </si>
  <si>
    <t>Singtam</t>
  </si>
  <si>
    <t>Rangpo</t>
  </si>
  <si>
    <t>Namchi</t>
  </si>
  <si>
    <t>Jorethang</t>
  </si>
  <si>
    <t>Gyalshing</t>
  </si>
  <si>
    <t>Mangan</t>
  </si>
  <si>
    <t>01</t>
  </si>
  <si>
    <t>00</t>
  </si>
  <si>
    <t>SMH</t>
  </si>
  <si>
    <t>DH</t>
  </si>
  <si>
    <t>SH</t>
  </si>
  <si>
    <t>OH</t>
  </si>
  <si>
    <t>198</t>
  </si>
  <si>
    <t>200</t>
  </si>
  <si>
    <t>196</t>
  </si>
  <si>
    <t>61</t>
  </si>
  <si>
    <t>45</t>
  </si>
  <si>
    <t>46</t>
  </si>
  <si>
    <t>47</t>
  </si>
  <si>
    <t>48</t>
  </si>
  <si>
    <t>62</t>
  </si>
  <si>
    <t>71</t>
  </si>
  <si>
    <t>EAST</t>
  </si>
  <si>
    <t>WEST</t>
  </si>
  <si>
    <t xml:space="preserve">NORTH </t>
  </si>
  <si>
    <t>SOUTH</t>
  </si>
  <si>
    <t>GRAM PANCHAYATS</t>
  </si>
  <si>
    <t>DETAIL HEADS</t>
  </si>
  <si>
    <t>ZILLA PANCHAYATS</t>
  </si>
  <si>
    <t>% transfer</t>
  </si>
  <si>
    <t>STATEMENT SHOWING DISTRICT-WISE TRANSFER OF FUND TO ZILLA AND GRAM PANCHAYATS  (NON-PLAN)</t>
  </si>
  <si>
    <t>ANNEXURE - II</t>
  </si>
  <si>
    <t>ANNEXURE - III</t>
  </si>
  <si>
    <t>STATEMENT SHOWING DISTRICT-WISE TRANSFER OF FUND TO ZILLA AND GRAM PANCHAYATS  (PLAN)</t>
  </si>
  <si>
    <t>(In Thousands of Rupees)</t>
  </si>
  <si>
    <t>72</t>
  </si>
  <si>
    <t>%</t>
  </si>
  <si>
    <t>61.00.72</t>
  </si>
  <si>
    <t>Discretionary Grant to Zilla Panchayats</t>
  </si>
  <si>
    <t>Conduct of Election to Municipal Bodies</t>
  </si>
  <si>
    <t>62.45.36</t>
  </si>
  <si>
    <t>62.46.36</t>
  </si>
  <si>
    <t>62.47.36</t>
  </si>
  <si>
    <t>62.48.36</t>
  </si>
  <si>
    <t>63.45.36</t>
  </si>
  <si>
    <t>63.46.36</t>
  </si>
  <si>
    <t>63.47.36</t>
  </si>
  <si>
    <t>63.48.36</t>
  </si>
  <si>
    <t>36</t>
  </si>
  <si>
    <t>C. Economic services, (b) Rural Development</t>
  </si>
  <si>
    <t>00.69.01</t>
  </si>
  <si>
    <t>00.69.11</t>
  </si>
  <si>
    <t>00.69.13</t>
  </si>
  <si>
    <t>00.70.01</t>
  </si>
  <si>
    <t>00.70.11</t>
  </si>
  <si>
    <t>00.70.13</t>
  </si>
  <si>
    <t>00.71.01</t>
  </si>
  <si>
    <t>00.71.11</t>
  </si>
  <si>
    <t>00.71.13</t>
  </si>
  <si>
    <t>00.72.01</t>
  </si>
  <si>
    <t>00.72.11</t>
  </si>
  <si>
    <t>00.72.13</t>
  </si>
  <si>
    <t>ADC (Development) Soreng</t>
  </si>
  <si>
    <t>ADC (Development) Ravangla</t>
  </si>
  <si>
    <t>ADC (Development) Pakyong</t>
  </si>
  <si>
    <t>ADC (Development) Chungthang</t>
  </si>
  <si>
    <t>06</t>
  </si>
  <si>
    <t>703</t>
  </si>
  <si>
    <t>34</t>
  </si>
  <si>
    <t>81</t>
  </si>
  <si>
    <t xml:space="preserve">Estimated Transfer from the
 State Govt. </t>
  </si>
  <si>
    <t>Note:</t>
  </si>
  <si>
    <t>MH-Major Head, SMH- Sub Major Head, MH-Minor Head, SH-Sub-Head, DH-Detailed Head, OH-Object Head.</t>
  </si>
  <si>
    <t>Grant-in-Aid - Salaries</t>
  </si>
  <si>
    <t>Sl. No.</t>
  </si>
  <si>
    <t>2015-16</t>
  </si>
  <si>
    <t>MUNICIPALS</t>
  </si>
  <si>
    <t>Other Taxes and Duties</t>
  </si>
  <si>
    <t>Taxes on Vehicles</t>
  </si>
  <si>
    <t>Taxes on Sales and Trade etc.</t>
  </si>
  <si>
    <t>State Excise</t>
  </si>
  <si>
    <t>Stamps and  Registration</t>
  </si>
  <si>
    <t>GP (70%)</t>
  </si>
  <si>
    <t>ZP (30%)</t>
  </si>
  <si>
    <t>AMOUNT</t>
  </si>
  <si>
    <t>SOURCES OF TAXES</t>
  </si>
  <si>
    <t>MAJOR 
HEAD</t>
  </si>
  <si>
    <t xml:space="preserve">STATEMENT SHOWING  AMOUNT TRANSFER TO ZP AND GP BASES ON 70:30 % OF SHARE </t>
  </si>
  <si>
    <t>IN RS 000</t>
  </si>
  <si>
    <t>IN %AGE</t>
  </si>
  <si>
    <t>ULBs 
share
of 20%</t>
  </si>
  <si>
    <t>PRIs
share of 80%</t>
  </si>
  <si>
    <t>2.5% OF COL 8</t>
  </si>
  <si>
    <t>NET AMOUNT
(5-7)</t>
  </si>
  <si>
    <t>COLLECTION CHARGES
 AS RECOMMENDED BY THE COMMISSION</t>
  </si>
  <si>
    <t>AMOUNT
(3-4)</t>
  </si>
  <si>
    <t>MINUS AS 
PER 
PARA 26</t>
  </si>
  <si>
    <t>BUDGET 
ESTIMATE</t>
  </si>
  <si>
    <t>STATEMENT SHOWING SHARE RECOMMENDED BY THE 14TH FINANCE COMMISSION TO LOCAL BODIES</t>
  </si>
  <si>
    <t>IMPROVEMENT GRANT</t>
  </si>
  <si>
    <t>APPLICABLE TO BOTH THE LOCAL BODIES</t>
  </si>
  <si>
    <t>PRIMARY GRANT</t>
  </si>
  <si>
    <t>PARA 28</t>
  </si>
  <si>
    <t>% TO ULBS</t>
  </si>
  <si>
    <t>% TO PRIS</t>
  </si>
  <si>
    <t>ALLOCATION OF SHARE OF TAXES TO PRIS AND ULBS</t>
  </si>
  <si>
    <t>PARA 27</t>
  </si>
  <si>
    <t>NET OF TAX REVENUE EXCLUDING CESS</t>
  </si>
  <si>
    <t>% OF DIVISIBLE POOL OF TAXES FOR VERTICAL DEVOLUTION</t>
  </si>
  <si>
    <t>AWARDED</t>
  </si>
  <si>
    <t>PARA 26</t>
  </si>
  <si>
    <t>STATEMENT SHOWING SHARE RECOMMENDED BY THE 4th SFC FOR LOCAL BODIES</t>
  </si>
  <si>
    <t>Share of Net proceeds recommended by the 4th State Finance Commission</t>
  </si>
  <si>
    <t>95.04.71</t>
  </si>
  <si>
    <t>95.04.72</t>
  </si>
  <si>
    <t>Primary Grant</t>
  </si>
  <si>
    <t>Basic Grant recommended by the 14th Finance Commission</t>
  </si>
  <si>
    <t xml:space="preserve">Basic Grant </t>
  </si>
  <si>
    <t>96.06.72</t>
  </si>
  <si>
    <t>FORMULA 
(PG)</t>
  </si>
  <si>
    <t>(Para 12.25  PG:IG ratio= 70:30)</t>
  </si>
  <si>
    <t>FORMULA FOR CALCULATION OF SHARE AMOUNG ULB ( LETTER NO 265/Acct/E&amp;P dated 19.5.2015 signed by the Ex. Member Secretary, 4th State Finance Commission</t>
  </si>
  <si>
    <t>Primary Grant (PG)</t>
  </si>
  <si>
    <t>Improvement Grant (IG)</t>
  </si>
  <si>
    <t>formula</t>
  </si>
  <si>
    <t>( Annexure 7.6 of the Report)</t>
  </si>
  <si>
    <t>( Annexure 7.9 of the Report)</t>
  </si>
  <si>
    <t>ZP</t>
  </si>
  <si>
    <t>GP</t>
  </si>
  <si>
    <t xml:space="preserve"> GP</t>
  </si>
  <si>
    <t xml:space="preserve"> ZP</t>
  </si>
  <si>
    <t>of which % AGE</t>
  </si>
  <si>
    <t>Share of taxes</t>
  </si>
  <si>
    <t>Local Bodies</t>
  </si>
  <si>
    <t>2016-17</t>
  </si>
  <si>
    <t>2018-19</t>
  </si>
  <si>
    <t>2019-20</t>
  </si>
  <si>
    <t>GPs</t>
  </si>
  <si>
    <t>ZPs</t>
  </si>
  <si>
    <t>ULBs</t>
  </si>
  <si>
    <t>2017-18</t>
  </si>
  <si>
    <t>Year</t>
  </si>
  <si>
    <t>IG</t>
  </si>
  <si>
    <t>PG</t>
  </si>
  <si>
    <t>NIL</t>
  </si>
  <si>
    <t>para 7.30</t>
  </si>
  <si>
    <t>of 4th SFC</t>
  </si>
  <si>
    <t>60</t>
  </si>
  <si>
    <t>95</t>
  </si>
  <si>
    <t>04</t>
  </si>
  <si>
    <t>96</t>
  </si>
  <si>
    <t>Sharing as per the devolution of funds as per Table 7.5 of the 4th SFC Report</t>
  </si>
  <si>
    <t>Basic grant</t>
  </si>
  <si>
    <t>Performance grant</t>
  </si>
  <si>
    <t>Performance  Grant</t>
  </si>
  <si>
    <t>Performance Grant</t>
  </si>
  <si>
    <t>97.07.72</t>
  </si>
  <si>
    <t>Performance Grant recommended by the 14th Finance Commission</t>
  </si>
  <si>
    <t>97</t>
  </si>
  <si>
    <t>07</t>
  </si>
  <si>
    <t>Formula derived from figures at annexure 7.3 of the report of 4th State FC.page No 159</t>
  </si>
  <si>
    <t>share of taxes</t>
  </si>
  <si>
    <t xml:space="preserve">Primary Grant </t>
  </si>
  <si>
    <t>Improvement Grant</t>
  </si>
  <si>
    <t>98</t>
  </si>
  <si>
    <t>61.00.36</t>
  </si>
  <si>
    <t>Grant-in-aid recommended by the 4th State Finance Commission</t>
  </si>
  <si>
    <t>61.00.71</t>
  </si>
  <si>
    <t>Local Area Development Fund for Adhakshya and Upadhakshya</t>
  </si>
  <si>
    <t>98.04.71</t>
  </si>
  <si>
    <t>98.04.72</t>
  </si>
  <si>
    <t>98.07.71</t>
  </si>
  <si>
    <t>98.07.72</t>
  </si>
  <si>
    <t>basic grant Amount during 2017-18</t>
  </si>
  <si>
    <t xml:space="preserve">Sl. No </t>
  </si>
  <si>
    <t>Major Head</t>
  </si>
  <si>
    <t>Source of Tax</t>
  </si>
  <si>
    <t>Minus As per para 26 of the ATR on 4th SFC</t>
  </si>
  <si>
    <t>Amount ( Col.3 minus Col.4)</t>
  </si>
  <si>
    <t>Collection Charges as per Table 7.14 -Pg 94 of the 4th SFC Report</t>
  </si>
  <si>
    <t>Net Amount ( Col.5 minus Col.7)</t>
  </si>
  <si>
    <t>Tax transferred to Local Bodies ( Rs in Lakh)</t>
  </si>
  <si>
    <t>Percentage</t>
  </si>
  <si>
    <t>In Rs.</t>
  </si>
  <si>
    <t>As per para 26 of ATR on 4th SFC (2.5% of Col.8)</t>
  </si>
  <si>
    <t>RLBs</t>
  </si>
  <si>
    <t>ULBs(20% of Col.9)</t>
  </si>
  <si>
    <t>Total RLBs (80% of Col.9)</t>
  </si>
  <si>
    <t>Zilla Panchayats(30% x of Col.10)</t>
  </si>
  <si>
    <t>Gram Panchayats(70% of Col.10)</t>
  </si>
  <si>
    <t>0029</t>
  </si>
  <si>
    <t xml:space="preserve"> Land Revenue</t>
  </si>
  <si>
    <t>25%</t>
  </si>
  <si>
    <t>0030</t>
  </si>
  <si>
    <t>Stamps &amp; Registration</t>
  </si>
  <si>
    <t>0039</t>
  </si>
  <si>
    <t>6.32%</t>
  </si>
  <si>
    <t>0040</t>
  </si>
  <si>
    <t>Taxes on Sale Trade etc</t>
  </si>
  <si>
    <t>3.10%</t>
  </si>
  <si>
    <t>0041</t>
  </si>
  <si>
    <t>Taxes on Vehicle</t>
  </si>
  <si>
    <t>17.01%</t>
  </si>
  <si>
    <t>0045</t>
  </si>
  <si>
    <t xml:space="preserve"> Other Taxes and duties  minus  Cess</t>
  </si>
  <si>
    <t>Total :</t>
  </si>
  <si>
    <t>Worksheet for calculation of Share of Taxes to Local Bodies using the Budget Estimates for 2017-18</t>
  </si>
  <si>
    <t xml:space="preserve"> BE 2017-18</t>
  </si>
  <si>
    <t>Budget Estimate 2017-18 for Share of Taxes to Local Bodies assigned under 4th State Finance Commission inclusive of the difference of Share of Taxes for 2015-16</t>
  </si>
  <si>
    <t>Rs in Lakh</t>
  </si>
  <si>
    <t>Actuals 2015-16</t>
  </si>
  <si>
    <t>BE 2015-16</t>
  </si>
  <si>
    <t>Difference Shortfall(+)/Surplus(-)</t>
  </si>
  <si>
    <t>BE 2017-18</t>
  </si>
  <si>
    <t>Share of Net Taxes BE  2017-18 ( 4+5)</t>
  </si>
  <si>
    <t>Zilla Panchayats</t>
  </si>
  <si>
    <t>Gram Panchayats</t>
  </si>
  <si>
    <t>Urban Local Bodies</t>
  </si>
  <si>
    <t>Gangtok Municipal Corporation</t>
  </si>
  <si>
    <t>Singtam Nagar Panchayat</t>
  </si>
  <si>
    <t>Rangpo Nagar Panchayat</t>
  </si>
  <si>
    <t>Namchi Municipal Council</t>
  </si>
  <si>
    <t>Jorethang Nagar Panchayat</t>
  </si>
  <si>
    <t>Gyalshing Nagar Panchayat</t>
  </si>
  <si>
    <t>Mangan Nagar Panchayat</t>
  </si>
  <si>
    <t xml:space="preserve">STATEMENT SHOWING DISTRICT-WISE TRANSFER OF FUND TO ZILLA AND GRAM PANCHAYATS </t>
  </si>
  <si>
    <t>Preparation &amp; Printing Electoral Rolls</t>
  </si>
  <si>
    <t>Assistance to Zilla Parishads / District Level Panchayats</t>
  </si>
  <si>
    <t>Budget Estimate</t>
  </si>
  <si>
    <t>Basic grant Amount during 2018-19</t>
  </si>
  <si>
    <t>Actuals 2016-17</t>
  </si>
  <si>
    <t>BE 2016-17</t>
  </si>
  <si>
    <t>BE 2018-19</t>
  </si>
  <si>
    <t>Share of Net Taxes BE  2018-19 ( 4+5)</t>
  </si>
  <si>
    <t>Budget Estimate 2018-19 for Share of Taxes to Local Bodies assigned under 4th State Finance Commission inclusive of the difference of Share of Taxes for 2016-17</t>
  </si>
  <si>
    <t>basic grant Amount during 2016-17</t>
  </si>
  <si>
    <t>Actual 2016-17
ESTIMATE</t>
  </si>
  <si>
    <t>0006</t>
  </si>
  <si>
    <t>State Goods and Services Tax ( SGST) lieu of VAT &amp; CST</t>
  </si>
  <si>
    <t>00.44.42</t>
  </si>
  <si>
    <t xml:space="preserve">Lump sum provision for revision of Pay &amp; Allowances </t>
  </si>
  <si>
    <t>Discretionary Grant to Gram Panchayats</t>
  </si>
  <si>
    <t xml:space="preserve">                                                         DEMAND NO. 43</t>
  </si>
  <si>
    <t xml:space="preserve">                                                 PANCHAYATI RAJ INSTITUTIONS</t>
  </si>
  <si>
    <t>-</t>
  </si>
  <si>
    <t>I. Estimate of the amount required in the year ending 31st March, 2020 to defray the charges in respect of Panchayati Raj Institutions.</t>
  </si>
  <si>
    <t>State Goods and Services Tax (SGST)</t>
  </si>
  <si>
    <t>Actual 2017-18
ESTIMATE</t>
  </si>
  <si>
    <t>State Goods and Services Tax  SGST</t>
  </si>
  <si>
    <t>Actuals 2017-18</t>
  </si>
  <si>
    <t>BE 2019-20</t>
  </si>
  <si>
    <t>Share of Net Taxes BE  2019-20 ( 4+5)</t>
  </si>
  <si>
    <t>Basic grant Amount during 2019-20</t>
  </si>
  <si>
    <t>Budget Estimate 2019-20 for Share of Taxes to Local Bodies assigned under 4th State Finance Commission inclusive of the difference of Share of Taxes for 2017-18</t>
  </si>
  <si>
    <t>60.00.02</t>
  </si>
  <si>
    <t>Wages</t>
  </si>
  <si>
    <t>00.44.02</t>
  </si>
  <si>
    <t>00.48.02</t>
  </si>
  <si>
    <t>00.69.02</t>
  </si>
  <si>
    <t>00.70.02</t>
  </si>
  <si>
    <t>00.71.02</t>
  </si>
  <si>
    <t>00.72.02</t>
  </si>
  <si>
    <t>Adakshya -Rs 2 lakh + Upadkskya -Rs 1 lakh =3 lakh entitlement per district.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</si>
  <si>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</si>
  <si>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</si>
  <si>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</si>
  <si>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</si>
  <si>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</si>
  <si>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</si>
  <si>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Financial Year 2019-20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</si>
</sst>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#"/>
    <numFmt numFmtId="166" formatCode="0000##"/>
    <numFmt numFmtId="167" formatCode="00000#"/>
    <numFmt numFmtId="168" formatCode="00.###"/>
    <numFmt numFmtId="169" formatCode="00.000"/>
    <numFmt numFmtId="170" formatCode="00.00"/>
    <numFmt numFmtId="171" formatCode="0.0"/>
    <numFmt numFmtId="173" formatCode="00.#00"/>
    <numFmt numFmtId="174" formatCode="0#.###"/>
    <numFmt numFmtId="175" formatCode="00##"/>
    <numFmt numFmtId="176" formatCode="_ * #,##0.000_ ;_ * \-#,##0.000_ ;_ * &quot;-&quot;??_ ;_ @_ "/>
  </numFmts>
  <fonts count="3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u/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6"/>
      <name val="Arial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imes New Roman"/>
      <family val="1"/>
    </font>
    <font>
      <sz val="5"/>
      <color indexed="8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7" fontId="2" fillId="0" borderId="0"/>
  </cellStyleXfs>
  <cellXfs count="558">
    <xf numFmtId="0" fontId="0" fillId="0" borderId="0" xfId="0"/>
    <xf numFmtId="0" fontId="3" fillId="0" borderId="0" xfId="32" applyFont="1" applyFill="1" applyAlignment="1">
      <alignment vertical="top" wrapText="1"/>
    </xf>
    <xf numFmtId="0" fontId="5" fillId="0" borderId="1" xfId="33" applyNumberFormat="1" applyFont="1" applyFill="1" applyBorder="1" applyAlignment="1" applyProtection="1">
      <alignment horizontal="right"/>
    </xf>
    <xf numFmtId="0" fontId="3" fillId="0" borderId="0" xfId="32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9" fillId="0" borderId="2" xfId="1" applyNumberFormat="1" applyFont="1" applyFill="1" applyBorder="1" applyAlignment="1">
      <alignment horizontal="right" vertical="center" wrapText="1"/>
    </xf>
    <xf numFmtId="0" fontId="11" fillId="0" borderId="2" xfId="11" applyNumberFormat="1" applyFont="1" applyFill="1" applyBorder="1" applyAlignment="1">
      <alignment horizontal="right" vertical="center" wrapText="1"/>
    </xf>
    <xf numFmtId="0" fontId="11" fillId="0" borderId="2" xfId="32" applyFont="1" applyFill="1" applyBorder="1" applyAlignment="1">
      <alignment horizontal="center" vertical="center"/>
    </xf>
    <xf numFmtId="0" fontId="9" fillId="0" borderId="2" xfId="1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justify" vertical="top" wrapText="1"/>
    </xf>
    <xf numFmtId="17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49" fontId="11" fillId="0" borderId="2" xfId="26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49" fontId="11" fillId="0" borderId="0" xfId="0" applyNumberFormat="1" applyFont="1" applyFill="1" applyAlignment="1">
      <alignment horizontal="justify" vertical="top" wrapText="1"/>
    </xf>
    <xf numFmtId="49" fontId="11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/>
    <xf numFmtId="171" fontId="3" fillId="0" borderId="0" xfId="0" applyNumberFormat="1" applyFont="1" applyFill="1"/>
    <xf numFmtId="0" fontId="11" fillId="0" borderId="2" xfId="0" applyFont="1" applyFill="1" applyBorder="1" applyAlignment="1">
      <alignment horizontal="center" vertical="center" wrapText="1"/>
    </xf>
    <xf numFmtId="1" fontId="11" fillId="0" borderId="2" xfId="32" applyNumberFormat="1" applyFont="1" applyFill="1" applyBorder="1" applyAlignment="1">
      <alignment horizontal="center" vertical="center"/>
    </xf>
    <xf numFmtId="1" fontId="11" fillId="0" borderId="2" xfId="3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right" vertical="top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29"/>
    <xf numFmtId="1" fontId="1" fillId="0" borderId="2" xfId="29" applyNumberFormat="1" applyBorder="1"/>
    <xf numFmtId="2" fontId="1" fillId="0" borderId="2" xfId="29" applyNumberFormat="1" applyBorder="1"/>
    <xf numFmtId="0" fontId="1" fillId="3" borderId="2" xfId="29" applyFont="1" applyFill="1" applyBorder="1"/>
    <xf numFmtId="0" fontId="3" fillId="3" borderId="2" xfId="32" applyFont="1" applyFill="1" applyBorder="1" applyAlignment="1">
      <alignment vertical="top" wrapText="1"/>
    </xf>
    <xf numFmtId="0" fontId="1" fillId="3" borderId="2" xfId="29" applyFill="1" applyBorder="1"/>
    <xf numFmtId="0" fontId="1" fillId="0" borderId="0" xfId="29" applyAlignment="1">
      <alignment horizontal="center"/>
    </xf>
    <xf numFmtId="0" fontId="1" fillId="0" borderId="0" xfId="29" applyAlignment="1">
      <alignment horizontal="right"/>
    </xf>
    <xf numFmtId="1" fontId="1" fillId="0" borderId="0" xfId="29" applyNumberFormat="1" applyBorder="1"/>
    <xf numFmtId="0" fontId="3" fillId="0" borderId="2" xfId="32" applyFont="1" applyFill="1" applyBorder="1" applyAlignment="1">
      <alignment vertical="top" wrapText="1"/>
    </xf>
    <xf numFmtId="0" fontId="1" fillId="0" borderId="4" xfId="29" applyBorder="1" applyAlignment="1">
      <alignment horizontal="center"/>
    </xf>
    <xf numFmtId="175" fontId="1" fillId="0" borderId="0" xfId="29" applyNumberFormat="1" applyAlignment="1">
      <alignment horizontal="center"/>
    </xf>
    <xf numFmtId="0" fontId="3" fillId="0" borderId="2" xfId="35" applyNumberFormat="1" applyFont="1" applyFill="1" applyBorder="1" applyAlignment="1" applyProtection="1">
      <alignment horizontal="left" vertical="top" wrapText="1"/>
    </xf>
    <xf numFmtId="0" fontId="1" fillId="0" borderId="0" xfId="29" applyBorder="1"/>
    <xf numFmtId="0" fontId="1" fillId="0" borderId="2" xfId="29" applyBorder="1"/>
    <xf numFmtId="0" fontId="1" fillId="0" borderId="0" xfId="29" applyFill="1" applyBorder="1" applyAlignment="1">
      <alignment horizontal="center"/>
    </xf>
    <xf numFmtId="0" fontId="1" fillId="0" borderId="5" xfId="29" applyBorder="1"/>
    <xf numFmtId="0" fontId="1" fillId="3" borderId="1" xfId="29" applyFill="1" applyBorder="1"/>
    <xf numFmtId="0" fontId="1" fillId="3" borderId="1" xfId="29" applyFill="1" applyBorder="1" applyAlignment="1">
      <alignment horizontal="center" wrapText="1"/>
    </xf>
    <xf numFmtId="0" fontId="1" fillId="3" borderId="6" xfId="29" applyFill="1" applyBorder="1" applyAlignment="1">
      <alignment horizontal="center"/>
    </xf>
    <xf numFmtId="0" fontId="1" fillId="0" borderId="7" xfId="29" applyBorder="1"/>
    <xf numFmtId="0" fontId="1" fillId="3" borderId="5" xfId="29" applyFill="1" applyBorder="1"/>
    <xf numFmtId="0" fontId="1" fillId="3" borderId="7" xfId="29" applyFill="1" applyBorder="1"/>
    <xf numFmtId="0" fontId="1" fillId="3" borderId="0" xfId="29" applyFill="1" applyBorder="1"/>
    <xf numFmtId="0" fontId="1" fillId="3" borderId="0" xfId="29" applyFill="1" applyBorder="1" applyAlignment="1">
      <alignment horizontal="center" wrapText="1"/>
    </xf>
    <xf numFmtId="0" fontId="1" fillId="3" borderId="8" xfId="29" applyFill="1" applyBorder="1" applyAlignment="1">
      <alignment horizontal="center"/>
    </xf>
    <xf numFmtId="0" fontId="1" fillId="3" borderId="9" xfId="29" applyFill="1" applyBorder="1"/>
    <xf numFmtId="0" fontId="1" fillId="3" borderId="3" xfId="29" applyFill="1" applyBorder="1"/>
    <xf numFmtId="0" fontId="1" fillId="3" borderId="3" xfId="29" applyFill="1" applyBorder="1" applyAlignment="1">
      <alignment horizontal="center" wrapText="1"/>
    </xf>
    <xf numFmtId="0" fontId="1" fillId="3" borderId="10" xfId="29" applyFill="1" applyBorder="1" applyAlignment="1">
      <alignment horizontal="center"/>
    </xf>
    <xf numFmtId="0" fontId="1" fillId="4" borderId="1" xfId="29" applyFill="1" applyBorder="1"/>
    <xf numFmtId="0" fontId="1" fillId="4" borderId="3" xfId="29" applyFill="1" applyBorder="1"/>
    <xf numFmtId="0" fontId="1" fillId="5" borderId="5" xfId="29" applyFill="1" applyBorder="1"/>
    <xf numFmtId="0" fontId="1" fillId="5" borderId="1" xfId="29" applyFill="1" applyBorder="1"/>
    <xf numFmtId="0" fontId="1" fillId="5" borderId="6" xfId="29" applyFill="1" applyBorder="1"/>
    <xf numFmtId="0" fontId="1" fillId="5" borderId="9" xfId="29" applyFill="1" applyBorder="1"/>
    <xf numFmtId="0" fontId="1" fillId="5" borderId="3" xfId="29" applyFill="1" applyBorder="1"/>
    <xf numFmtId="0" fontId="1" fillId="5" borderId="10" xfId="29" applyFill="1" applyBorder="1" applyAlignment="1">
      <alignment horizontal="right"/>
    </xf>
    <xf numFmtId="0" fontId="1" fillId="0" borderId="8" xfId="29" applyBorder="1"/>
    <xf numFmtId="0" fontId="1" fillId="0" borderId="2" xfId="29" applyFont="1" applyBorder="1" applyAlignment="1">
      <alignment horizontal="center"/>
    </xf>
    <xf numFmtId="0" fontId="1" fillId="0" borderId="2" xfId="29" applyBorder="1" applyAlignment="1">
      <alignment horizontal="center"/>
    </xf>
    <xf numFmtId="0" fontId="1" fillId="4" borderId="2" xfId="29" applyFill="1" applyBorder="1" applyAlignment="1">
      <alignment horizontal="center"/>
    </xf>
    <xf numFmtId="0" fontId="1" fillId="0" borderId="11" xfId="29" applyFont="1" applyBorder="1" applyAlignment="1">
      <alignment horizontal="center"/>
    </xf>
    <xf numFmtId="0" fontId="1" fillId="0" borderId="12" xfId="29" applyFont="1" applyBorder="1" applyAlignment="1">
      <alignment horizontal="center"/>
    </xf>
    <xf numFmtId="0" fontId="1" fillId="4" borderId="0" xfId="29" applyFill="1" applyBorder="1"/>
    <xf numFmtId="0" fontId="1" fillId="4" borderId="8" xfId="29" applyFill="1" applyBorder="1" applyAlignment="1">
      <alignment horizontal="center"/>
    </xf>
    <xf numFmtId="0" fontId="1" fillId="4" borderId="0" xfId="29" applyFill="1" applyBorder="1" applyAlignment="1">
      <alignment horizontal="center" vertical="top" wrapText="1"/>
    </xf>
    <xf numFmtId="0" fontId="1" fillId="3" borderId="0" xfId="29" applyFill="1" applyBorder="1" applyAlignment="1">
      <alignment horizontal="center" vertical="top" wrapText="1"/>
    </xf>
    <xf numFmtId="0" fontId="1" fillId="0" borderId="10" xfId="29" applyFont="1" applyBorder="1" applyAlignment="1">
      <alignment vertical="center"/>
    </xf>
    <xf numFmtId="0" fontId="1" fillId="0" borderId="0" xfId="29" applyFont="1" applyBorder="1" applyAlignment="1">
      <alignment vertical="center"/>
    </xf>
    <xf numFmtId="1" fontId="1" fillId="0" borderId="0" xfId="29" applyNumberFormat="1" applyBorder="1" applyAlignment="1">
      <alignment horizontal="center"/>
    </xf>
    <xf numFmtId="0" fontId="1" fillId="0" borderId="2" xfId="29" applyFont="1" applyBorder="1" applyAlignment="1">
      <alignment vertical="center"/>
    </xf>
    <xf numFmtId="0" fontId="1" fillId="0" borderId="11" xfId="29" applyBorder="1"/>
    <xf numFmtId="1" fontId="1" fillId="0" borderId="2" xfId="29" applyNumberFormat="1" applyBorder="1" applyAlignment="1">
      <alignment horizontal="right"/>
    </xf>
    <xf numFmtId="2" fontId="1" fillId="4" borderId="0" xfId="29" applyNumberFormat="1" applyFill="1" applyBorder="1"/>
    <xf numFmtId="0" fontId="3" fillId="4" borderId="0" xfId="32" applyFont="1" applyFill="1" applyBorder="1" applyAlignment="1">
      <alignment vertical="top" wrapText="1"/>
    </xf>
    <xf numFmtId="0" fontId="1" fillId="4" borderId="0" xfId="29" applyFont="1" applyFill="1" applyBorder="1"/>
    <xf numFmtId="0" fontId="3" fillId="4" borderId="0" xfId="32" applyFont="1" applyFill="1" applyBorder="1" applyAlignment="1">
      <alignment vertical="top"/>
    </xf>
    <xf numFmtId="0" fontId="1" fillId="0" borderId="2" xfId="29" applyBorder="1" applyAlignment="1">
      <alignment horizontal="right"/>
    </xf>
    <xf numFmtId="0" fontId="1" fillId="5" borderId="10" xfId="29" applyFill="1" applyBorder="1" applyAlignment="1">
      <alignment horizontal="center"/>
    </xf>
    <xf numFmtId="0" fontId="1" fillId="5" borderId="0" xfId="29" applyFill="1" applyBorder="1"/>
    <xf numFmtId="0" fontId="1" fillId="5" borderId="8" xfId="29" applyFill="1" applyBorder="1" applyAlignment="1">
      <alignment horizontal="center"/>
    </xf>
    <xf numFmtId="0" fontId="1" fillId="5" borderId="0" xfId="29" applyFill="1" applyBorder="1" applyAlignment="1">
      <alignment horizontal="center"/>
    </xf>
    <xf numFmtId="0" fontId="1" fillId="4" borderId="2" xfId="29" applyFill="1" applyBorder="1"/>
    <xf numFmtId="0" fontId="1" fillId="6" borderId="2" xfId="29" applyFill="1" applyBorder="1" applyAlignment="1">
      <alignment wrapText="1"/>
    </xf>
    <xf numFmtId="0" fontId="1" fillId="6" borderId="2" xfId="29" applyFill="1" applyBorder="1"/>
    <xf numFmtId="2" fontId="1" fillId="0" borderId="2" xfId="29" applyNumberFormat="1" applyBorder="1" applyAlignment="1">
      <alignment horizontal="right"/>
    </xf>
    <xf numFmtId="0" fontId="3" fillId="7" borderId="2" xfId="32" applyFont="1" applyFill="1" applyBorder="1" applyAlignment="1">
      <alignment vertical="top" wrapText="1"/>
    </xf>
    <xf numFmtId="0" fontId="1" fillId="7" borderId="2" xfId="29" applyFont="1" applyFill="1" applyBorder="1"/>
    <xf numFmtId="0" fontId="1" fillId="7" borderId="2" xfId="29" applyFill="1" applyBorder="1"/>
    <xf numFmtId="0" fontId="11" fillId="0" borderId="2" xfId="26" applyFont="1" applyFill="1" applyBorder="1" applyAlignment="1">
      <alignment horizontal="center" vertical="center"/>
    </xf>
    <xf numFmtId="164" fontId="11" fillId="0" borderId="2" xfId="11" applyFont="1" applyFill="1" applyBorder="1" applyAlignment="1">
      <alignment horizontal="right" vertical="center" wrapText="1"/>
    </xf>
    <xf numFmtId="0" fontId="11" fillId="0" borderId="2" xfId="26" applyFont="1" applyFill="1" applyBorder="1" applyAlignment="1">
      <alignment horizontal="right" vertical="center" wrapText="1"/>
    </xf>
    <xf numFmtId="0" fontId="11" fillId="0" borderId="2" xfId="25" applyFont="1" applyFill="1" applyBorder="1" applyAlignment="1">
      <alignment horizontal="center" vertical="center"/>
    </xf>
    <xf numFmtId="49" fontId="11" fillId="0" borderId="2" xfId="25" applyNumberFormat="1" applyFont="1" applyFill="1" applyBorder="1" applyAlignment="1">
      <alignment horizontal="center" vertical="center" wrapText="1"/>
    </xf>
    <xf numFmtId="49" fontId="11" fillId="0" borderId="2" xfId="27" applyNumberFormat="1" applyFont="1" applyFill="1" applyBorder="1" applyAlignment="1">
      <alignment horizontal="center" vertical="center" wrapText="1"/>
    </xf>
    <xf numFmtId="0" fontId="9" fillId="0" borderId="0" xfId="32" applyNumberFormat="1" applyFont="1" applyFill="1" applyBorder="1"/>
    <xf numFmtId="0" fontId="9" fillId="0" borderId="2" xfId="32" applyNumberFormat="1" applyFont="1" applyFill="1" applyBorder="1"/>
    <xf numFmtId="0" fontId="3" fillId="0" borderId="2" xfId="18" applyNumberFormat="1" applyFont="1" applyFill="1" applyBorder="1" applyAlignment="1" applyProtection="1">
      <alignment horizontal="right" wrapText="1"/>
    </xf>
    <xf numFmtId="0" fontId="3" fillId="0" borderId="2" xfId="19" applyNumberFormat="1" applyFont="1" applyFill="1" applyBorder="1" applyAlignment="1" applyProtection="1">
      <alignment horizontal="right" wrapText="1"/>
    </xf>
    <xf numFmtId="0" fontId="3" fillId="0" borderId="2" xfId="20" applyNumberFormat="1" applyFont="1" applyFill="1" applyBorder="1" applyAlignment="1" applyProtection="1">
      <alignment horizontal="right" wrapText="1"/>
    </xf>
    <xf numFmtId="0" fontId="3" fillId="0" borderId="2" xfId="21" applyNumberFormat="1" applyFont="1" applyFill="1" applyBorder="1" applyAlignment="1" applyProtection="1">
      <alignment horizontal="right" wrapText="1"/>
    </xf>
    <xf numFmtId="0" fontId="3" fillId="0" borderId="2" xfId="22" applyNumberFormat="1" applyFont="1" applyFill="1" applyBorder="1" applyAlignment="1" applyProtection="1">
      <alignment horizontal="right" wrapText="1"/>
    </xf>
    <xf numFmtId="0" fontId="3" fillId="0" borderId="2" xfId="23" applyNumberFormat="1" applyFont="1" applyFill="1" applyBorder="1" applyAlignment="1" applyProtection="1">
      <alignment horizontal="right" wrapText="1"/>
    </xf>
    <xf numFmtId="0" fontId="3" fillId="0" borderId="2" xfId="24" applyNumberFormat="1" applyFont="1" applyFill="1" applyBorder="1" applyAlignment="1" applyProtection="1">
      <alignment horizontal="right" wrapText="1"/>
    </xf>
    <xf numFmtId="0" fontId="9" fillId="0" borderId="2" xfId="4" applyNumberFormat="1" applyFont="1" applyFill="1" applyBorder="1" applyAlignment="1" applyProtection="1">
      <alignment horizontal="right" wrapText="1"/>
    </xf>
    <xf numFmtId="0" fontId="9" fillId="0" borderId="2" xfId="5" applyNumberFormat="1" applyFont="1" applyFill="1" applyBorder="1" applyAlignment="1">
      <alignment horizontal="right" wrapText="1"/>
    </xf>
    <xf numFmtId="0" fontId="15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NumberFormat="1" applyFont="1" applyFill="1" applyAlignment="1">
      <alignment vertical="top" wrapText="1"/>
    </xf>
    <xf numFmtId="0" fontId="15" fillId="0" borderId="0" xfId="0" applyNumberFormat="1" applyFont="1" applyFill="1" applyAlignment="1">
      <alignment horizontal="right" vertical="top" wrapText="1"/>
    </xf>
    <xf numFmtId="0" fontId="9" fillId="0" borderId="2" xfId="2" applyNumberFormat="1" applyFont="1" applyFill="1" applyBorder="1" applyAlignment="1" applyProtection="1">
      <alignment horizontal="right" vertical="center" wrapText="1"/>
    </xf>
    <xf numFmtId="0" fontId="11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top" wrapText="1"/>
    </xf>
    <xf numFmtId="49" fontId="16" fillId="0" borderId="0" xfId="0" applyNumberFormat="1" applyFont="1" applyFill="1" applyAlignment="1">
      <alignment horizontal="left" vertical="top" wrapText="1"/>
    </xf>
    <xf numFmtId="0" fontId="11" fillId="0" borderId="0" xfId="0" applyNumberFormat="1" applyFont="1" applyFill="1" applyAlignment="1">
      <alignment vertical="top" wrapText="1"/>
    </xf>
    <xf numFmtId="0" fontId="11" fillId="0" borderId="0" xfId="0" applyNumberFormat="1" applyFont="1" applyFill="1" applyAlignment="1">
      <alignment horizontal="right" vertical="top" wrapText="1"/>
    </xf>
    <xf numFmtId="0" fontId="9" fillId="0" borderId="2" xfId="3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top"/>
    </xf>
    <xf numFmtId="0" fontId="9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NumberFormat="1" applyFont="1" applyFill="1" applyAlignment="1">
      <alignment vertical="top" wrapText="1"/>
    </xf>
    <xf numFmtId="0" fontId="4" fillId="0" borderId="2" xfId="5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right" vertical="top" wrapText="1"/>
    </xf>
    <xf numFmtId="0" fontId="17" fillId="0" borderId="0" xfId="0" applyFont="1" applyFill="1"/>
    <xf numFmtId="0" fontId="17" fillId="0" borderId="0" xfId="0" applyFont="1" applyFill="1" applyAlignment="1">
      <alignment vertical="top" wrapText="1"/>
    </xf>
    <xf numFmtId="0" fontId="17" fillId="0" borderId="0" xfId="0" applyNumberFormat="1" applyFont="1" applyFill="1" applyAlignment="1">
      <alignment vertical="top" wrapText="1"/>
    </xf>
    <xf numFmtId="0" fontId="17" fillId="0" borderId="0" xfId="0" applyNumberFormat="1" applyFont="1" applyFill="1" applyAlignment="1">
      <alignment horizontal="right" vertical="top" wrapText="1"/>
    </xf>
    <xf numFmtId="0" fontId="18" fillId="0" borderId="2" xfId="5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horizontal="right" vertical="top" wrapText="1"/>
    </xf>
    <xf numFmtId="0" fontId="19" fillId="0" borderId="0" xfId="0" applyFont="1" applyFill="1"/>
    <xf numFmtId="0" fontId="19" fillId="0" borderId="0" xfId="0" applyFont="1" applyFill="1" applyAlignment="1">
      <alignment vertical="top" wrapText="1"/>
    </xf>
    <xf numFmtId="0" fontId="19" fillId="0" borderId="0" xfId="0" applyNumberFormat="1" applyFont="1" applyFill="1" applyAlignment="1">
      <alignment vertical="top" wrapText="1"/>
    </xf>
    <xf numFmtId="0" fontId="19" fillId="0" borderId="0" xfId="0" applyNumberFormat="1" applyFont="1" applyFill="1" applyAlignment="1">
      <alignment horizontal="right" vertical="top" wrapText="1"/>
    </xf>
    <xf numFmtId="0" fontId="23" fillId="0" borderId="0" xfId="29" applyFont="1" applyBorder="1"/>
    <xf numFmtId="0" fontId="23" fillId="7" borderId="2" xfId="29" applyFont="1" applyFill="1" applyBorder="1"/>
    <xf numFmtId="1" fontId="1" fillId="7" borderId="2" xfId="29" applyNumberFormat="1" applyFill="1" applyBorder="1"/>
    <xf numFmtId="0" fontId="1" fillId="0" borderId="2" xfId="29" applyBorder="1" applyAlignment="1">
      <alignment wrapText="1"/>
    </xf>
    <xf numFmtId="2" fontId="1" fillId="0" borderId="0" xfId="29" applyNumberFormat="1"/>
    <xf numFmtId="2" fontId="1" fillId="0" borderId="0" xfId="29" applyNumberFormat="1" applyBorder="1"/>
    <xf numFmtId="1" fontId="11" fillId="0" borderId="2" xfId="26" applyNumberFormat="1" applyFont="1" applyFill="1" applyBorder="1" applyAlignment="1">
      <alignment horizontal="right" vertical="center" wrapText="1"/>
    </xf>
    <xf numFmtId="1" fontId="9" fillId="2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164" fontId="11" fillId="0" borderId="2" xfId="6" applyFont="1" applyFill="1" applyBorder="1" applyAlignment="1">
      <alignment horizontal="right" vertical="center" wrapText="1"/>
    </xf>
    <xf numFmtId="164" fontId="9" fillId="0" borderId="2" xfId="6" applyFont="1" applyFill="1" applyBorder="1" applyAlignment="1">
      <alignment horizontal="right" vertical="center" wrapText="1"/>
    </xf>
    <xf numFmtId="0" fontId="9" fillId="0" borderId="2" xfId="12" applyNumberFormat="1" applyFont="1" applyFill="1" applyBorder="1" applyAlignment="1">
      <alignment horizontal="right" vertical="center" wrapText="1"/>
    </xf>
    <xf numFmtId="0" fontId="11" fillId="0" borderId="0" xfId="8" applyNumberFormat="1" applyFont="1" applyFill="1" applyAlignment="1" applyProtection="1">
      <alignment horizontal="right" wrapText="1"/>
    </xf>
    <xf numFmtId="0" fontId="11" fillId="0" borderId="0" xfId="9" applyNumberFormat="1" applyFont="1" applyFill="1" applyAlignment="1" applyProtection="1">
      <alignment horizontal="right" wrapText="1"/>
    </xf>
    <xf numFmtId="0" fontId="11" fillId="0" borderId="0" xfId="13" applyNumberFormat="1" applyFont="1" applyFill="1" applyBorder="1" applyAlignment="1" applyProtection="1">
      <alignment horizontal="right" wrapText="1"/>
    </xf>
    <xf numFmtId="0" fontId="11" fillId="0" borderId="0" xfId="10" applyNumberFormat="1" applyFont="1" applyFill="1" applyAlignment="1" applyProtection="1">
      <alignment horizontal="right" wrapText="1"/>
    </xf>
    <xf numFmtId="0" fontId="11" fillId="0" borderId="0" xfId="14" applyNumberFormat="1" applyFont="1" applyFill="1" applyAlignment="1" applyProtection="1">
      <alignment horizontal="right" wrapText="1"/>
    </xf>
    <xf numFmtId="0" fontId="11" fillId="0" borderId="1" xfId="15" applyNumberFormat="1" applyFont="1" applyFill="1" applyBorder="1" applyAlignment="1" applyProtection="1">
      <alignment horizontal="right" wrapText="1"/>
    </xf>
    <xf numFmtId="0" fontId="11" fillId="0" borderId="1" xfId="16" applyNumberFormat="1" applyFont="1" applyFill="1" applyBorder="1" applyAlignment="1" applyProtection="1">
      <alignment horizontal="right" wrapText="1"/>
    </xf>
    <xf numFmtId="0" fontId="11" fillId="0" borderId="0" xfId="17" applyNumberFormat="1" applyFont="1" applyFill="1" applyBorder="1" applyAlignment="1" applyProtection="1">
      <alignment horizontal="right" wrapText="1"/>
    </xf>
    <xf numFmtId="0" fontId="11" fillId="0" borderId="2" xfId="6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0" fontId="9" fillId="0" borderId="2" xfId="6" applyNumberFormat="1" applyFont="1" applyFill="1" applyBorder="1" applyAlignment="1">
      <alignment horizontal="right" vertical="center" wrapText="1"/>
    </xf>
    <xf numFmtId="164" fontId="11" fillId="0" borderId="0" xfId="1" applyFont="1" applyFill="1" applyBorder="1" applyAlignment="1" applyProtection="1">
      <alignment horizontal="right" wrapText="1"/>
    </xf>
    <xf numFmtId="164" fontId="9" fillId="0" borderId="2" xfId="1" applyFont="1" applyFill="1" applyBorder="1" applyAlignment="1">
      <alignment horizontal="right" vertical="center" wrapText="1"/>
    </xf>
    <xf numFmtId="0" fontId="1" fillId="0" borderId="0" xfId="29" applyAlignment="1">
      <alignment horizont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5" fillId="0" borderId="2" xfId="0" applyNumberFormat="1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2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0" xfId="0" applyFont="1" applyAlignment="1"/>
    <xf numFmtId="0" fontId="28" fillId="0" borderId="0" xfId="0" applyFont="1"/>
    <xf numFmtId="0" fontId="26" fillId="0" borderId="0" xfId="0" applyFont="1"/>
    <xf numFmtId="0" fontId="26" fillId="0" borderId="2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top" wrapText="1"/>
    </xf>
    <xf numFmtId="0" fontId="26" fillId="0" borderId="2" xfId="0" applyFont="1" applyBorder="1"/>
    <xf numFmtId="0" fontId="28" fillId="0" borderId="2" xfId="0" applyFont="1" applyBorder="1"/>
    <xf numFmtId="0" fontId="28" fillId="0" borderId="2" xfId="0" applyFont="1" applyFill="1" applyBorder="1"/>
    <xf numFmtId="0" fontId="28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" fillId="0" borderId="0" xfId="29" applyBorder="1" applyAlignment="1">
      <alignment horizontal="center"/>
    </xf>
    <xf numFmtId="0" fontId="1" fillId="0" borderId="2" xfId="29" applyFill="1" applyBorder="1" applyAlignment="1">
      <alignment horizontal="center" vertical="center"/>
    </xf>
    <xf numFmtId="0" fontId="1" fillId="0" borderId="0" xfId="29" applyFont="1" applyBorder="1" applyAlignment="1">
      <alignment horizontal="center"/>
    </xf>
    <xf numFmtId="0" fontId="1" fillId="0" borderId="2" xfId="29" applyFont="1" applyBorder="1" applyAlignment="1">
      <alignment horizontal="center" vertical="center" wrapText="1"/>
    </xf>
    <xf numFmtId="0" fontId="1" fillId="0" borderId="2" xfId="29" applyFont="1" applyBorder="1" applyAlignment="1">
      <alignment horizontal="center" vertical="center"/>
    </xf>
    <xf numFmtId="0" fontId="1" fillId="0" borderId="2" xfId="29" applyFont="1" applyBorder="1" applyAlignment="1">
      <alignment horizontal="center" wrapText="1"/>
    </xf>
    <xf numFmtId="0" fontId="1" fillId="0" borderId="0" xfId="29" applyFont="1" applyBorder="1" applyAlignment="1">
      <alignment horizontal="center" vertical="center"/>
    </xf>
    <xf numFmtId="0" fontId="20" fillId="3" borderId="0" xfId="29" applyFont="1" applyFill="1" applyBorder="1"/>
    <xf numFmtId="1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" fontId="23" fillId="7" borderId="2" xfId="29" applyNumberFormat="1" applyFont="1" applyFill="1" applyBorder="1"/>
    <xf numFmtId="2" fontId="26" fillId="0" borderId="2" xfId="0" applyNumberFormat="1" applyFont="1" applyBorder="1" applyAlignment="1">
      <alignment horizontal="right" wrapText="1"/>
    </xf>
    <xf numFmtId="2" fontId="28" fillId="0" borderId="2" xfId="0" applyNumberFormat="1" applyFont="1" applyBorder="1" applyAlignment="1">
      <alignment horizontal="right" wrapText="1"/>
    </xf>
    <xf numFmtId="0" fontId="0" fillId="0" borderId="0" xfId="0" applyFill="1"/>
    <xf numFmtId="1" fontId="9" fillId="0" borderId="2" xfId="1" applyNumberFormat="1" applyFont="1" applyFill="1" applyBorder="1" applyAlignment="1">
      <alignment horizontal="right" vertical="center" wrapText="1"/>
    </xf>
    <xf numFmtId="164" fontId="11" fillId="0" borderId="2" xfId="1" applyFont="1" applyFill="1" applyBorder="1" applyAlignment="1">
      <alignment horizontal="right" vertical="center" wrapText="1"/>
    </xf>
    <xf numFmtId="164" fontId="11" fillId="0" borderId="2" xfId="1" applyFont="1" applyFill="1" applyBorder="1" applyAlignment="1">
      <alignment horizontal="right" wrapText="1"/>
    </xf>
    <xf numFmtId="0" fontId="3" fillId="0" borderId="0" xfId="34" applyFont="1" applyFill="1" applyBorder="1" applyAlignment="1" applyProtection="1">
      <alignment horizontal="left" vertical="top" wrapText="1"/>
    </xf>
    <xf numFmtId="0" fontId="3" fillId="0" borderId="0" xfId="34" applyFont="1" applyFill="1" applyBorder="1" applyAlignment="1" applyProtection="1">
      <alignment horizontal="right" vertical="top" wrapText="1"/>
    </xf>
    <xf numFmtId="0" fontId="3" fillId="0" borderId="1" xfId="33" applyFont="1" applyFill="1" applyBorder="1" applyAlignment="1" applyProtection="1">
      <alignment horizontal="left"/>
    </xf>
    <xf numFmtId="0" fontId="3" fillId="0" borderId="1" xfId="33" applyNumberFormat="1" applyFont="1" applyFill="1" applyBorder="1" applyProtection="1"/>
    <xf numFmtId="0" fontId="3" fillId="0" borderId="1" xfId="33" applyNumberFormat="1" applyFont="1" applyFill="1" applyBorder="1" applyAlignment="1" applyProtection="1">
      <alignment horizontal="left"/>
    </xf>
    <xf numFmtId="0" fontId="3" fillId="0" borderId="3" xfId="34" applyFont="1" applyFill="1" applyBorder="1" applyAlignment="1" applyProtection="1">
      <alignment horizontal="left" vertical="top" wrapText="1"/>
    </xf>
    <xf numFmtId="0" fontId="3" fillId="0" borderId="3" xfId="34" applyFont="1" applyFill="1" applyBorder="1" applyAlignment="1" applyProtection="1">
      <alignment horizontal="right" vertical="top" wrapText="1"/>
    </xf>
    <xf numFmtId="0" fontId="3" fillId="0" borderId="0" xfId="33" applyFont="1" applyFill="1" applyBorder="1" applyAlignment="1" applyProtection="1">
      <alignment horizontal="left"/>
    </xf>
    <xf numFmtId="0" fontId="3" fillId="0" borderId="1" xfId="34" applyFont="1" applyFill="1" applyBorder="1" applyAlignment="1" applyProtection="1">
      <alignment horizontal="left" vertical="top" wrapText="1"/>
    </xf>
    <xf numFmtId="0" fontId="3" fillId="0" borderId="1" xfId="34" applyFont="1" applyFill="1" applyBorder="1" applyAlignment="1" applyProtection="1">
      <alignment horizontal="right" vertical="top" wrapText="1"/>
    </xf>
    <xf numFmtId="0" fontId="3" fillId="0" borderId="1" xfId="33" applyNumberFormat="1" applyFont="1" applyFill="1" applyBorder="1" applyAlignment="1" applyProtection="1">
      <alignment horizontal="right"/>
    </xf>
    <xf numFmtId="0" fontId="3" fillId="0" borderId="1" xfId="33" applyNumberFormat="1" applyFont="1" applyFill="1" applyBorder="1" applyAlignment="1" applyProtection="1">
      <alignment vertical="center" wrapText="1"/>
    </xf>
    <xf numFmtId="0" fontId="1" fillId="0" borderId="0" xfId="29" applyFont="1" applyBorder="1" applyAlignment="1">
      <alignment horizontal="center"/>
    </xf>
    <xf numFmtId="0" fontId="1" fillId="0" borderId="0" xfId="29" applyBorder="1" applyAlignment="1">
      <alignment horizontal="center"/>
    </xf>
    <xf numFmtId="0" fontId="1" fillId="0" borderId="2" xfId="29" applyBorder="1" applyAlignment="1">
      <alignment horizontal="center"/>
    </xf>
    <xf numFmtId="0" fontId="1" fillId="0" borderId="2" xfId="29" applyFont="1" applyBorder="1" applyAlignment="1">
      <alignment horizontal="center" vertical="center" wrapText="1"/>
    </xf>
    <xf numFmtId="0" fontId="1" fillId="0" borderId="2" xfId="29" applyFont="1" applyBorder="1" applyAlignment="1">
      <alignment horizontal="center" vertical="center"/>
    </xf>
    <xf numFmtId="0" fontId="1" fillId="0" borderId="2" xfId="29" applyFont="1" applyBorder="1" applyAlignment="1">
      <alignment horizontal="center"/>
    </xf>
    <xf numFmtId="0" fontId="1" fillId="0" borderId="0" xfId="29" applyFont="1" applyBorder="1" applyAlignment="1">
      <alignment horizontal="center" vertical="center"/>
    </xf>
    <xf numFmtId="0" fontId="1" fillId="0" borderId="2" xfId="29" applyFill="1" applyBorder="1" applyAlignment="1">
      <alignment horizontal="center" vertical="center"/>
    </xf>
    <xf numFmtId="0" fontId="1" fillId="0" borderId="2" xfId="29" applyFont="1" applyBorder="1" applyAlignment="1">
      <alignment horizontal="center" wrapText="1"/>
    </xf>
    <xf numFmtId="0" fontId="1" fillId="0" borderId="2" xfId="29" applyFill="1" applyBorder="1" applyAlignment="1">
      <alignment horizontal="center" vertical="center"/>
    </xf>
    <xf numFmtId="0" fontId="1" fillId="0" borderId="0" xfId="29" applyFont="1" applyBorder="1" applyAlignment="1">
      <alignment horizontal="center"/>
    </xf>
    <xf numFmtId="0" fontId="1" fillId="0" borderId="2" xfId="29" applyFont="1" applyBorder="1" applyAlignment="1">
      <alignment horizontal="center" vertical="center" wrapText="1"/>
    </xf>
    <xf numFmtId="0" fontId="1" fillId="0" borderId="2" xfId="29" applyFont="1" applyBorder="1" applyAlignment="1">
      <alignment horizontal="center" vertical="center"/>
    </xf>
    <xf numFmtId="0" fontId="1" fillId="0" borderId="2" xfId="29" applyFont="1" applyBorder="1" applyAlignment="1">
      <alignment horizontal="center" wrapText="1"/>
    </xf>
    <xf numFmtId="0" fontId="1" fillId="0" borderId="2" xfId="29" applyBorder="1" applyAlignment="1">
      <alignment horizontal="center"/>
    </xf>
    <xf numFmtId="0" fontId="1" fillId="0" borderId="0" xfId="29" applyBorder="1" applyAlignment="1">
      <alignment horizontal="center"/>
    </xf>
    <xf numFmtId="0" fontId="1" fillId="0" borderId="2" xfId="29" applyFont="1" applyBorder="1" applyAlignment="1">
      <alignment horizontal="center"/>
    </xf>
    <xf numFmtId="0" fontId="1" fillId="0" borderId="0" xfId="29" applyFont="1" applyBorder="1" applyAlignment="1">
      <alignment horizontal="center" vertical="center"/>
    </xf>
    <xf numFmtId="0" fontId="1" fillId="0" borderId="0" xfId="29" applyFont="1" applyBorder="1" applyAlignment="1">
      <alignment horizontal="center"/>
    </xf>
    <xf numFmtId="0" fontId="1" fillId="0" borderId="0" xfId="29" applyBorder="1" applyAlignment="1">
      <alignment horizontal="center"/>
    </xf>
    <xf numFmtId="0" fontId="1" fillId="0" borderId="2" xfId="29" applyBorder="1" applyAlignment="1">
      <alignment horizontal="center"/>
    </xf>
    <xf numFmtId="0" fontId="1" fillId="0" borderId="2" xfId="29" applyFont="1" applyBorder="1" applyAlignment="1">
      <alignment horizontal="center" vertical="center" wrapText="1"/>
    </xf>
    <xf numFmtId="0" fontId="1" fillId="0" borderId="2" xfId="29" applyFont="1" applyBorder="1" applyAlignment="1">
      <alignment horizontal="center" vertical="center"/>
    </xf>
    <xf numFmtId="0" fontId="1" fillId="0" borderId="2" xfId="29" applyFont="1" applyBorder="1" applyAlignment="1">
      <alignment horizontal="center"/>
    </xf>
    <xf numFmtId="0" fontId="1" fillId="0" borderId="0" xfId="29" applyFont="1" applyBorder="1" applyAlignment="1">
      <alignment horizontal="center" vertical="center"/>
    </xf>
    <xf numFmtId="0" fontId="1" fillId="0" borderId="2" xfId="29" applyFill="1" applyBorder="1" applyAlignment="1">
      <alignment horizontal="center" vertical="center"/>
    </xf>
    <xf numFmtId="0" fontId="1" fillId="0" borderId="2" xfId="29" applyFont="1" applyBorder="1" applyAlignment="1">
      <alignment horizontal="center" wrapText="1"/>
    </xf>
    <xf numFmtId="0" fontId="1" fillId="4" borderId="0" xfId="29" applyFill="1"/>
    <xf numFmtId="0" fontId="1" fillId="4" borderId="0" xfId="29" applyFill="1" applyAlignment="1">
      <alignment horizontal="center" wrapText="1"/>
    </xf>
    <xf numFmtId="0" fontId="3" fillId="4" borderId="2" xfId="32" applyFont="1" applyFill="1" applyBorder="1" applyAlignment="1">
      <alignment vertical="top" wrapText="1"/>
    </xf>
    <xf numFmtId="1" fontId="1" fillId="4" borderId="2" xfId="29" applyNumberFormat="1" applyFill="1" applyBorder="1"/>
    <xf numFmtId="2" fontId="1" fillId="4" borderId="2" xfId="29" applyNumberFormat="1" applyFill="1" applyBorder="1"/>
    <xf numFmtId="0" fontId="1" fillId="4" borderId="2" xfId="29" applyFont="1" applyFill="1" applyBorder="1"/>
    <xf numFmtId="0" fontId="1" fillId="0" borderId="0" xfId="29" quotePrefix="1" applyFont="1" applyBorder="1" applyAlignment="1">
      <alignment horizontal="center" vertical="center" wrapText="1"/>
    </xf>
    <xf numFmtId="0" fontId="24" fillId="0" borderId="0" xfId="36" applyNumberFormat="1" applyFont="1" applyFill="1" applyAlignment="1" applyProtection="1">
      <alignment horizontal="left" vertical="top" wrapText="1"/>
    </xf>
    <xf numFmtId="0" fontId="3" fillId="0" borderId="0" xfId="32" applyNumberFormat="1" applyFont="1" applyFill="1" applyBorder="1" applyAlignment="1" applyProtection="1">
      <alignment horizontal="right"/>
    </xf>
    <xf numFmtId="0" fontId="3" fillId="0" borderId="0" xfId="32" applyNumberFormat="1" applyFont="1" applyFill="1" applyBorder="1" applyAlignment="1">
      <alignment horizontal="right"/>
    </xf>
    <xf numFmtId="0" fontId="1" fillId="0" borderId="0" xfId="29" applyBorder="1" applyAlignment="1">
      <alignment horizontal="center"/>
    </xf>
    <xf numFmtId="2" fontId="23" fillId="7" borderId="2" xfId="29" applyNumberFormat="1" applyFont="1" applyFill="1" applyBorder="1" applyAlignment="1">
      <alignment horizontal="right" wrapText="1"/>
    </xf>
    <xf numFmtId="2" fontId="23" fillId="7" borderId="2" xfId="29" applyNumberFormat="1" applyFont="1" applyFill="1" applyBorder="1" applyAlignment="1"/>
    <xf numFmtId="2" fontId="23" fillId="7" borderId="2" xfId="29" applyNumberFormat="1" applyFont="1" applyFill="1" applyBorder="1"/>
    <xf numFmtId="0" fontId="27" fillId="0" borderId="0" xfId="0" applyFont="1" applyFill="1" applyAlignment="1"/>
    <xf numFmtId="0" fontId="28" fillId="0" borderId="0" xfId="0" applyFont="1" applyFill="1"/>
    <xf numFmtId="0" fontId="26" fillId="0" borderId="0" xfId="0" applyFont="1" applyFill="1"/>
    <xf numFmtId="0" fontId="26" fillId="0" borderId="2" xfId="0" applyFont="1" applyFill="1" applyBorder="1" applyAlignment="1">
      <alignment horizontal="center" vertical="top"/>
    </xf>
    <xf numFmtId="0" fontId="26" fillId="0" borderId="2" xfId="0" applyFont="1" applyFill="1" applyBorder="1" applyAlignment="1">
      <alignment horizontal="center" vertical="top" wrapText="1"/>
    </xf>
    <xf numFmtId="0" fontId="26" fillId="0" borderId="2" xfId="0" applyFont="1" applyFill="1" applyBorder="1"/>
    <xf numFmtId="2" fontId="26" fillId="0" borderId="2" xfId="0" applyNumberFormat="1" applyFont="1" applyFill="1" applyBorder="1" applyAlignment="1">
      <alignment horizontal="right" wrapText="1"/>
    </xf>
    <xf numFmtId="2" fontId="28" fillId="0" borderId="2" xfId="0" applyNumberFormat="1" applyFont="1" applyFill="1" applyBorder="1" applyAlignment="1">
      <alignment horizontal="right" wrapText="1"/>
    </xf>
    <xf numFmtId="0" fontId="28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0" borderId="2" xfId="0" applyFont="1" applyFill="1" applyBorder="1" applyAlignment="1">
      <alignment horizontal="center" vertical="center"/>
    </xf>
    <xf numFmtId="0" fontId="3" fillId="0" borderId="0" xfId="32" applyFont="1" applyFill="1" applyBorder="1" applyAlignment="1">
      <alignment horizontal="left" vertical="top"/>
    </xf>
    <xf numFmtId="0" fontId="3" fillId="0" borderId="0" xfId="32" applyFont="1" applyFill="1" applyBorder="1" applyAlignment="1">
      <alignment horizontal="right" vertical="top"/>
    </xf>
    <xf numFmtId="0" fontId="4" fillId="0" borderId="0" xfId="32" applyFont="1" applyFill="1" applyBorder="1" applyAlignment="1" applyProtection="1">
      <alignment horizontal="center" vertical="top" wrapText="1"/>
    </xf>
    <xf numFmtId="0" fontId="4" fillId="0" borderId="0" xfId="32" applyFont="1" applyFill="1" applyBorder="1" applyAlignment="1" applyProtection="1">
      <alignment horizontal="center"/>
    </xf>
    <xf numFmtId="0" fontId="4" fillId="0" borderId="0" xfId="32" applyNumberFormat="1" applyFont="1" applyFill="1" applyBorder="1" applyAlignment="1">
      <alignment horizontal="center"/>
    </xf>
    <xf numFmtId="0" fontId="3" fillId="0" borderId="0" xfId="32" applyNumberFormat="1" applyFont="1" applyFill="1" applyBorder="1" applyAlignment="1" applyProtection="1">
      <alignment horizontal="left"/>
    </xf>
    <xf numFmtId="0" fontId="3" fillId="0" borderId="0" xfId="32" applyNumberFormat="1" applyFont="1" applyFill="1" applyBorder="1" applyAlignment="1" applyProtection="1">
      <alignment horizontal="center"/>
    </xf>
    <xf numFmtId="0" fontId="3" fillId="0" borderId="0" xfId="32" applyFont="1" applyFill="1" applyBorder="1" applyAlignment="1" applyProtection="1">
      <alignment horizontal="right" vertical="top"/>
    </xf>
    <xf numFmtId="0" fontId="4" fillId="0" borderId="0" xfId="32" applyNumberFormat="1" applyFont="1" applyFill="1" applyBorder="1" applyAlignment="1">
      <alignment horizontal="center" vertical="top" wrapText="1"/>
    </xf>
    <xf numFmtId="0" fontId="3" fillId="0" borderId="0" xfId="32" applyNumberFormat="1" applyFont="1" applyFill="1" applyBorder="1" applyAlignment="1" applyProtection="1">
      <alignment horizontal="left" vertical="top"/>
    </xf>
    <xf numFmtId="0" fontId="3" fillId="0" borderId="0" xfId="32" applyNumberFormat="1" applyFont="1" applyFill="1"/>
    <xf numFmtId="0" fontId="4" fillId="0" borderId="0" xfId="32" applyNumberFormat="1" applyFont="1" applyFill="1" applyAlignment="1">
      <alignment horizontal="center" vertical="top"/>
    </xf>
    <xf numFmtId="0" fontId="3" fillId="0" borderId="0" xfId="32" applyNumberFormat="1" applyFont="1" applyFill="1" applyAlignment="1">
      <alignment vertical="top"/>
    </xf>
    <xf numFmtId="0" fontId="3" fillId="0" borderId="0" xfId="30" applyFont="1" applyFill="1" applyAlignment="1" applyProtection="1">
      <alignment horizontal="left" vertical="top"/>
    </xf>
    <xf numFmtId="0" fontId="3" fillId="0" borderId="0" xfId="30" applyFont="1" applyFill="1" applyAlignment="1" applyProtection="1">
      <alignment horizontal="left"/>
    </xf>
    <xf numFmtId="0" fontId="3" fillId="0" borderId="0" xfId="30" applyNumberFormat="1" applyFont="1" applyFill="1" applyAlignment="1" applyProtection="1">
      <alignment horizontal="left"/>
    </xf>
    <xf numFmtId="0" fontId="3" fillId="0" borderId="0" xfId="32" applyFont="1" applyFill="1" applyAlignment="1">
      <alignment horizontal="right" vertical="top"/>
    </xf>
    <xf numFmtId="0" fontId="4" fillId="0" borderId="0" xfId="32" applyNumberFormat="1" applyFont="1" applyFill="1" applyBorder="1"/>
    <xf numFmtId="164" fontId="3" fillId="0" borderId="0" xfId="1" applyFont="1" applyFill="1" applyAlignment="1">
      <alignment horizontal="right"/>
    </xf>
    <xf numFmtId="0" fontId="4" fillId="0" borderId="0" xfId="32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center"/>
    </xf>
    <xf numFmtId="0" fontId="3" fillId="0" borderId="0" xfId="32" applyFont="1" applyFill="1" applyAlignment="1">
      <alignment horizontal="left" vertical="top" wrapText="1"/>
    </xf>
    <xf numFmtId="0" fontId="3" fillId="0" borderId="0" xfId="32" applyFont="1" applyFill="1" applyAlignment="1">
      <alignment horizontal="right" vertical="top" wrapText="1"/>
    </xf>
    <xf numFmtId="0" fontId="4" fillId="0" borderId="0" xfId="32" applyFont="1" applyFill="1" applyAlignment="1" applyProtection="1">
      <alignment horizontal="left" vertical="top" wrapText="1"/>
    </xf>
    <xf numFmtId="0" fontId="3" fillId="0" borderId="0" xfId="32" applyFont="1" applyFill="1" applyBorder="1" applyAlignment="1">
      <alignment horizontal="left" vertical="top" wrapText="1"/>
    </xf>
    <xf numFmtId="0" fontId="4" fillId="0" borderId="0" xfId="32" applyFont="1" applyFill="1" applyBorder="1" applyAlignment="1">
      <alignment horizontal="right" vertical="top" wrapText="1"/>
    </xf>
    <xf numFmtId="0" fontId="4" fillId="0" borderId="0" xfId="32" applyFont="1" applyFill="1" applyBorder="1" applyAlignment="1" applyProtection="1">
      <alignment horizontal="left" vertical="top" wrapText="1"/>
    </xf>
    <xf numFmtId="169" fontId="4" fillId="0" borderId="0" xfId="32" applyNumberFormat="1" applyFont="1" applyFill="1" applyBorder="1" applyAlignment="1">
      <alignment horizontal="right" vertical="top" wrapText="1"/>
    </xf>
    <xf numFmtId="0" fontId="3" fillId="0" borderId="0" xfId="32" applyNumberFormat="1" applyFont="1" applyFill="1" applyBorder="1"/>
    <xf numFmtId="165" fontId="3" fillId="0" borderId="0" xfId="32" applyNumberFormat="1" applyFont="1" applyFill="1" applyBorder="1" applyAlignment="1">
      <alignment horizontal="right" vertical="top" wrapText="1"/>
    </xf>
    <xf numFmtId="0" fontId="3" fillId="0" borderId="0" xfId="32" applyFont="1" applyFill="1" applyBorder="1" applyAlignment="1" applyProtection="1">
      <alignment horizontal="left" vertical="top" wrapText="1"/>
    </xf>
    <xf numFmtId="167" fontId="3" fillId="0" borderId="0" xfId="32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8" fontId="4" fillId="0" borderId="0" xfId="32" applyNumberFormat="1" applyFont="1" applyFill="1" applyBorder="1" applyAlignment="1">
      <alignment horizontal="right" vertical="top" wrapText="1"/>
    </xf>
    <xf numFmtId="0" fontId="3" fillId="0" borderId="0" xfId="32" applyFont="1" applyFill="1" applyBorder="1" applyAlignment="1">
      <alignment horizontal="right" vertical="top" wrapText="1"/>
    </xf>
    <xf numFmtId="0" fontId="3" fillId="0" borderId="1" xfId="32" applyFont="1" applyFill="1" applyBorder="1" applyAlignment="1">
      <alignment horizontal="left" vertical="top"/>
    </xf>
    <xf numFmtId="0" fontId="3" fillId="0" borderId="1" xfId="32" applyFont="1" applyFill="1" applyBorder="1" applyAlignment="1" applyProtection="1">
      <alignment horizontal="left" vertical="top" wrapText="1"/>
    </xf>
    <xf numFmtId="170" fontId="3" fillId="0" borderId="0" xfId="3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1" xfId="32" applyFont="1" applyFill="1" applyBorder="1" applyAlignment="1">
      <alignment horizontal="left" vertical="top" wrapText="1"/>
    </xf>
    <xf numFmtId="0" fontId="4" fillId="0" borderId="0" xfId="32" applyFont="1" applyFill="1" applyBorder="1" applyAlignment="1">
      <alignment horizontal="right" vertical="top"/>
    </xf>
    <xf numFmtId="0" fontId="4" fillId="0" borderId="0" xfId="32" applyFont="1" applyFill="1" applyBorder="1" applyAlignment="1">
      <alignment vertical="top" wrapText="1"/>
    </xf>
    <xf numFmtId="173" fontId="4" fillId="0" borderId="0" xfId="32" applyNumberFormat="1" applyFont="1" applyFill="1" applyBorder="1" applyAlignment="1">
      <alignment horizontal="right" vertical="top"/>
    </xf>
    <xf numFmtId="165" fontId="3" fillId="0" borderId="0" xfId="34" applyNumberFormat="1" applyFont="1" applyFill="1" applyBorder="1" applyAlignment="1" applyProtection="1">
      <alignment horizontal="right" vertical="top" wrapText="1"/>
    </xf>
    <xf numFmtId="0" fontId="3" fillId="0" borderId="4" xfId="32" applyFont="1" applyFill="1" applyBorder="1" applyAlignment="1">
      <alignment horizontal="left" vertical="top"/>
    </xf>
    <xf numFmtId="0" fontId="4" fillId="0" borderId="4" xfId="32" applyFont="1" applyFill="1" applyBorder="1" applyAlignment="1">
      <alignment horizontal="right" vertical="top"/>
    </xf>
    <xf numFmtId="0" fontId="4" fillId="0" borderId="4" xfId="32" applyFont="1" applyFill="1" applyBorder="1" applyAlignment="1">
      <alignment vertical="top" wrapText="1"/>
    </xf>
    <xf numFmtId="0" fontId="3" fillId="0" borderId="4" xfId="30" applyFont="1" applyFill="1" applyBorder="1"/>
    <xf numFmtId="0" fontId="4" fillId="0" borderId="4" xfId="30" applyFont="1" applyFill="1" applyBorder="1" applyAlignment="1"/>
    <xf numFmtId="0" fontId="4" fillId="0" borderId="4" xfId="30" applyFont="1" applyFill="1" applyBorder="1" applyAlignment="1" applyProtection="1">
      <alignment horizontal="left"/>
    </xf>
    <xf numFmtId="0" fontId="3" fillId="0" borderId="0" xfId="30" applyFont="1" applyFill="1" applyBorder="1"/>
    <xf numFmtId="0" fontId="4" fillId="0" borderId="0" xfId="30" applyFont="1" applyFill="1" applyBorder="1" applyAlignment="1"/>
    <xf numFmtId="0" fontId="4" fillId="0" borderId="0" xfId="30" applyFont="1" applyFill="1" applyBorder="1" applyAlignment="1" applyProtection="1">
      <alignment horizontal="left"/>
    </xf>
    <xf numFmtId="0" fontId="3" fillId="0" borderId="0" xfId="30" applyNumberFormat="1" applyFont="1" applyFill="1" applyBorder="1" applyAlignment="1" applyProtection="1">
      <alignment horizontal="right" wrapText="1"/>
    </xf>
    <xf numFmtId="0" fontId="3" fillId="0" borderId="0" xfId="32" applyFont="1" applyFill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1" applyFont="1" applyFill="1" applyBorder="1" applyAlignment="1" applyProtection="1">
      <alignment horizontal="right" vertical="center" wrapText="1"/>
    </xf>
    <xf numFmtId="0" fontId="3" fillId="0" borderId="0" xfId="32" applyFont="1" applyFill="1"/>
    <xf numFmtId="0" fontId="3" fillId="0" borderId="1" xfId="32" applyFont="1" applyFill="1" applyBorder="1" applyAlignment="1">
      <alignment vertical="top" wrapText="1"/>
    </xf>
    <xf numFmtId="0" fontId="4" fillId="0" borderId="0" xfId="31" applyNumberFormat="1" applyFont="1" applyFill="1" applyBorder="1" applyAlignment="1" applyProtection="1">
      <alignment horizontal="center"/>
    </xf>
    <xf numFmtId="164" fontId="21" fillId="0" borderId="0" xfId="1" applyFont="1" applyFill="1" applyBorder="1" applyAlignment="1" applyProtection="1">
      <alignment horizontal="center"/>
    </xf>
    <xf numFmtId="0" fontId="3" fillId="0" borderId="0" xfId="32" applyNumberFormat="1" applyFont="1" applyFill="1" applyBorder="1" applyAlignment="1" applyProtection="1">
      <alignment horizontal="right" vertical="top"/>
    </xf>
    <xf numFmtId="0" fontId="3" fillId="0" borderId="0" xfId="30" applyNumberFormat="1" applyFont="1" applyFill="1" applyAlignment="1" applyProtection="1">
      <alignment horizontal="left" vertical="top"/>
    </xf>
    <xf numFmtId="0" fontId="4" fillId="0" borderId="0" xfId="32" applyNumberFormat="1" applyFont="1" applyFill="1" applyAlignment="1" applyProtection="1">
      <alignment horizontal="center" vertical="top"/>
    </xf>
    <xf numFmtId="0" fontId="3" fillId="0" borderId="0" xfId="34" applyFont="1" applyFill="1" applyProtection="1"/>
    <xf numFmtId="1" fontId="3" fillId="0" borderId="0" xfId="32" applyNumberFormat="1" applyFont="1" applyFill="1" applyBorder="1" applyAlignment="1" applyProtection="1">
      <alignment horizontal="right"/>
    </xf>
    <xf numFmtId="1" fontId="3" fillId="0" borderId="0" xfId="32" applyNumberFormat="1" applyFont="1" applyFill="1" applyBorder="1" applyAlignment="1">
      <alignment horizontal="right"/>
    </xf>
    <xf numFmtId="0" fontId="1" fillId="0" borderId="2" xfId="29" applyFill="1" applyBorder="1" applyAlignment="1">
      <alignment horizontal="center" vertical="center"/>
    </xf>
    <xf numFmtId="0" fontId="1" fillId="0" borderId="0" xfId="29" applyFont="1" applyBorder="1" applyAlignment="1">
      <alignment horizontal="center"/>
    </xf>
    <xf numFmtId="0" fontId="1" fillId="0" borderId="2" xfId="29" applyFont="1" applyBorder="1" applyAlignment="1">
      <alignment horizontal="center" vertical="center" wrapText="1"/>
    </xf>
    <xf numFmtId="0" fontId="1" fillId="0" borderId="2" xfId="29" applyFont="1" applyBorder="1" applyAlignment="1">
      <alignment horizontal="center" vertical="center"/>
    </xf>
    <xf numFmtId="0" fontId="1" fillId="0" borderId="2" xfId="29" applyFont="1" applyBorder="1" applyAlignment="1">
      <alignment horizontal="center" wrapText="1"/>
    </xf>
    <xf numFmtId="0" fontId="1" fillId="0" borderId="2" xfId="29" applyBorder="1" applyAlignment="1">
      <alignment horizontal="center"/>
    </xf>
    <xf numFmtId="0" fontId="1" fillId="0" borderId="0" xfId="29" applyBorder="1" applyAlignment="1">
      <alignment horizontal="center"/>
    </xf>
    <xf numFmtId="0" fontId="1" fillId="0" borderId="2" xfId="29" applyFont="1" applyBorder="1" applyAlignment="1">
      <alignment horizontal="center"/>
    </xf>
    <xf numFmtId="0" fontId="1" fillId="0" borderId="0" xfId="29" applyFont="1" applyBorder="1" applyAlignment="1">
      <alignment horizontal="center" vertical="center"/>
    </xf>
    <xf numFmtId="0" fontId="3" fillId="0" borderId="2" xfId="29" applyFont="1" applyBorder="1" applyAlignment="1">
      <alignment horizontal="center" vertical="center"/>
    </xf>
    <xf numFmtId="0" fontId="23" fillId="7" borderId="2" xfId="29" applyFont="1" applyFill="1" applyBorder="1" applyAlignment="1">
      <alignment horizontal="right" vertical="center" wrapText="1"/>
    </xf>
    <xf numFmtId="0" fontId="1" fillId="0" borderId="0" xfId="29" applyFill="1" applyBorder="1"/>
    <xf numFmtId="49" fontId="1" fillId="0" borderId="0" xfId="29" applyNumberFormat="1" applyFont="1" applyBorder="1" applyAlignment="1">
      <alignment horizontal="center" vertical="center" wrapText="1"/>
    </xf>
    <xf numFmtId="0" fontId="23" fillId="7" borderId="2" xfId="29" applyFont="1" applyFill="1" applyBorder="1" applyAlignment="1">
      <alignment horizontal="right" wrapText="1"/>
    </xf>
    <xf numFmtId="2" fontId="1" fillId="0" borderId="2" xfId="29" applyNumberFormat="1" applyFont="1" applyBorder="1" applyAlignment="1">
      <alignment horizontal="right" vertical="center" wrapText="1"/>
    </xf>
    <xf numFmtId="1" fontId="1" fillId="0" borderId="2" xfId="29" applyNumberFormat="1" applyFont="1" applyBorder="1" applyAlignment="1">
      <alignment horizontal="right" vertical="center"/>
    </xf>
    <xf numFmtId="1" fontId="1" fillId="0" borderId="2" xfId="29" applyNumberFormat="1" applyFill="1" applyBorder="1" applyAlignment="1">
      <alignment horizontal="right" vertical="center"/>
    </xf>
    <xf numFmtId="1" fontId="3" fillId="0" borderId="0" xfId="1" applyNumberFormat="1" applyFont="1" applyFill="1" applyAlignment="1">
      <alignment horizontal="right"/>
    </xf>
    <xf numFmtId="1" fontId="3" fillId="0" borderId="0" xfId="32" applyNumberFormat="1" applyFont="1" applyFill="1"/>
    <xf numFmtId="1" fontId="3" fillId="0" borderId="0" xfId="32" applyNumberFormat="1" applyFont="1" applyFill="1" applyBorder="1"/>
    <xf numFmtId="37" fontId="3" fillId="0" borderId="0" xfId="1" applyNumberFormat="1" applyFont="1" applyFill="1" applyBorder="1" applyAlignment="1">
      <alignment horizontal="right" wrapText="1"/>
    </xf>
    <xf numFmtId="1" fontId="3" fillId="0" borderId="0" xfId="32" applyNumberFormat="1" applyFont="1" applyFill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/>
    </xf>
    <xf numFmtId="1" fontId="3" fillId="0" borderId="0" xfId="1" applyNumberFormat="1" applyFont="1" applyFill="1" applyAlignment="1" applyProtection="1">
      <alignment horizontal="right"/>
    </xf>
    <xf numFmtId="1" fontId="3" fillId="0" borderId="0" xfId="32" applyNumberFormat="1" applyFont="1" applyFill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 wrapText="1"/>
    </xf>
    <xf numFmtId="1" fontId="3" fillId="0" borderId="3" xfId="1" applyNumberFormat="1" applyFont="1" applyFill="1" applyBorder="1" applyAlignment="1">
      <alignment horizontal="right" wrapText="1"/>
    </xf>
    <xf numFmtId="0" fontId="1" fillId="0" borderId="0" xfId="29" applyBorder="1" applyAlignment="1">
      <alignment horizontal="center"/>
    </xf>
    <xf numFmtId="2" fontId="0" fillId="7" borderId="2" xfId="0" applyNumberFormat="1" applyFill="1" applyBorder="1" applyAlignment="1">
      <alignment horizontal="right" vertical="center"/>
    </xf>
    <xf numFmtId="0" fontId="3" fillId="0" borderId="2" xfId="29" applyFont="1" applyBorder="1" applyAlignment="1">
      <alignment horizontal="left" vertical="center"/>
    </xf>
    <xf numFmtId="0" fontId="1" fillId="7" borderId="2" xfId="29" applyFont="1" applyFill="1" applyBorder="1" applyAlignment="1">
      <alignment horizontal="right" vertical="center" wrapText="1"/>
    </xf>
    <xf numFmtId="2" fontId="23" fillId="0" borderId="2" xfId="29" applyNumberFormat="1" applyFont="1" applyFill="1" applyBorder="1" applyAlignment="1"/>
    <xf numFmtId="2" fontId="32" fillId="0" borderId="2" xfId="29" applyNumberFormat="1" applyFont="1" applyFill="1" applyBorder="1" applyAlignment="1">
      <alignment horizontal="right" wrapText="1"/>
    </xf>
    <xf numFmtId="2" fontId="32" fillId="0" borderId="2" xfId="29" applyNumberFormat="1" applyFont="1" applyFill="1" applyBorder="1" applyAlignment="1"/>
    <xf numFmtId="2" fontId="32" fillId="7" borderId="2" xfId="29" applyNumberFormat="1" applyFont="1" applyFill="1" applyBorder="1" applyAlignment="1">
      <alignment horizontal="right" wrapText="1"/>
    </xf>
    <xf numFmtId="2" fontId="32" fillId="7" borderId="2" xfId="29" applyNumberFormat="1" applyFont="1" applyFill="1" applyBorder="1" applyAlignment="1"/>
    <xf numFmtId="0" fontId="33" fillId="0" borderId="2" xfId="0" applyFont="1" applyFill="1" applyBorder="1" applyAlignment="1">
      <alignment horizontal="center" vertical="top" wrapText="1"/>
    </xf>
    <xf numFmtId="1" fontId="4" fillId="0" borderId="0" xfId="32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0" borderId="2" xfId="0" applyFont="1" applyFill="1" applyBorder="1" applyAlignment="1">
      <alignment horizontal="center" vertical="center"/>
    </xf>
    <xf numFmtId="0" fontId="35" fillId="0" borderId="0" xfId="8" applyNumberFormat="1" applyFont="1" applyFill="1" applyAlignment="1" applyProtection="1">
      <alignment horizontal="right" wrapText="1"/>
    </xf>
    <xf numFmtId="0" fontId="35" fillId="0" borderId="0" xfId="9" applyNumberFormat="1" applyFont="1" applyFill="1" applyAlignment="1" applyProtection="1">
      <alignment horizontal="right" wrapText="1"/>
    </xf>
    <xf numFmtId="0" fontId="35" fillId="0" borderId="0" xfId="13" applyNumberFormat="1" applyFont="1" applyFill="1" applyBorder="1" applyAlignment="1" applyProtection="1">
      <alignment horizontal="right" wrapText="1"/>
    </xf>
    <xf numFmtId="0" fontId="35" fillId="0" borderId="0" xfId="10" applyNumberFormat="1" applyFont="1" applyFill="1" applyAlignment="1" applyProtection="1">
      <alignment horizontal="right" wrapText="1"/>
    </xf>
    <xf numFmtId="0" fontId="35" fillId="0" borderId="0" xfId="14" applyNumberFormat="1" applyFont="1" applyFill="1" applyAlignment="1" applyProtection="1">
      <alignment horizontal="right" wrapText="1"/>
    </xf>
    <xf numFmtId="0" fontId="35" fillId="0" borderId="1" xfId="15" applyNumberFormat="1" applyFont="1" applyFill="1" applyBorder="1" applyAlignment="1" applyProtection="1">
      <alignment horizontal="right" wrapText="1"/>
    </xf>
    <xf numFmtId="0" fontId="35" fillId="0" borderId="1" xfId="16" applyNumberFormat="1" applyFont="1" applyFill="1" applyBorder="1" applyAlignment="1" applyProtection="1">
      <alignment horizontal="right" wrapText="1"/>
    </xf>
    <xf numFmtId="0" fontId="35" fillId="0" borderId="0" xfId="17" applyNumberFormat="1" applyFont="1" applyFill="1" applyBorder="1" applyAlignment="1" applyProtection="1">
      <alignment horizontal="right" wrapText="1"/>
    </xf>
    <xf numFmtId="0" fontId="34" fillId="0" borderId="0" xfId="32" applyNumberFormat="1" applyFont="1" applyFill="1" applyBorder="1"/>
    <xf numFmtId="0" fontId="34" fillId="0" borderId="2" xfId="32" applyNumberFormat="1" applyFont="1" applyFill="1" applyBorder="1"/>
    <xf numFmtId="0" fontId="34" fillId="0" borderId="2" xfId="6" applyNumberFormat="1" applyFont="1" applyFill="1" applyBorder="1" applyAlignment="1">
      <alignment horizontal="right" vertical="center" wrapText="1"/>
    </xf>
    <xf numFmtId="0" fontId="3" fillId="0" borderId="2" xfId="11" applyNumberFormat="1" applyFont="1" applyFill="1" applyBorder="1" applyAlignment="1">
      <alignment horizontal="right" vertical="center" wrapText="1"/>
    </xf>
    <xf numFmtId="0" fontId="3" fillId="0" borderId="2" xfId="24" applyNumberFormat="1" applyFont="1" applyFill="1" applyBorder="1" applyAlignment="1" applyProtection="1">
      <alignment horizontal="right" vertical="center" wrapText="1"/>
    </xf>
    <xf numFmtId="0" fontId="9" fillId="0" borderId="2" xfId="4" applyNumberFormat="1" applyFont="1" applyFill="1" applyBorder="1" applyAlignment="1" applyProtection="1">
      <alignment horizontal="right" vertical="center" wrapText="1"/>
    </xf>
    <xf numFmtId="0" fontId="9" fillId="0" borderId="2" xfId="5" applyNumberFormat="1" applyFont="1" applyFill="1" applyBorder="1" applyAlignment="1">
      <alignment horizontal="right" vertical="center" wrapText="1"/>
    </xf>
    <xf numFmtId="176" fontId="11" fillId="0" borderId="2" xfId="6" applyNumberFormat="1" applyFont="1" applyFill="1" applyBorder="1" applyAlignment="1">
      <alignment horizontal="right" vertical="center" wrapText="1"/>
    </xf>
    <xf numFmtId="1" fontId="11" fillId="0" borderId="2" xfId="6" applyNumberFormat="1" applyFont="1" applyFill="1" applyBorder="1" applyAlignment="1">
      <alignment horizontal="right" vertical="center" wrapText="1"/>
    </xf>
    <xf numFmtId="0" fontId="3" fillId="0" borderId="0" xfId="32" applyFont="1" applyFill="1" applyAlignment="1">
      <alignment vertical="top"/>
    </xf>
    <xf numFmtId="166" fontId="3" fillId="0" borderId="0" xfId="32" applyNumberFormat="1" applyFont="1" applyFill="1" applyBorder="1" applyAlignment="1">
      <alignment horizontal="right" vertical="top" wrapText="1"/>
    </xf>
    <xf numFmtId="0" fontId="3" fillId="0" borderId="0" xfId="33" applyFont="1" applyFill="1" applyBorder="1" applyAlignment="1" applyProtection="1">
      <alignment horizontal="left" vertical="top"/>
    </xf>
    <xf numFmtId="167" fontId="3" fillId="0" borderId="1" xfId="32" applyNumberFormat="1" applyFont="1" applyFill="1" applyBorder="1" applyAlignment="1">
      <alignment horizontal="right" vertical="top" wrapText="1"/>
    </xf>
    <xf numFmtId="169" fontId="4" fillId="0" borderId="1" xfId="32" applyNumberFormat="1" applyFont="1" applyFill="1" applyBorder="1" applyAlignment="1">
      <alignment horizontal="right" vertical="top" wrapText="1"/>
    </xf>
    <xf numFmtId="0" fontId="4" fillId="0" borderId="1" xfId="32" applyFont="1" applyFill="1" applyBorder="1" applyAlignment="1" applyProtection="1">
      <alignment horizontal="left" vertical="top" wrapText="1"/>
    </xf>
    <xf numFmtId="166" fontId="3" fillId="0" borderId="1" xfId="32" applyNumberFormat="1" applyFont="1" applyFill="1" applyBorder="1" applyAlignment="1">
      <alignment horizontal="right" vertical="top" wrapText="1"/>
    </xf>
    <xf numFmtId="170" fontId="3" fillId="0" borderId="1" xfId="32" applyNumberFormat="1" applyFont="1" applyFill="1" applyBorder="1" applyAlignment="1">
      <alignment horizontal="right" vertical="top" wrapText="1"/>
    </xf>
    <xf numFmtId="168" fontId="4" fillId="0" borderId="1" xfId="3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32" applyNumberFormat="1" applyFont="1" applyFill="1" applyAlignment="1" applyProtection="1">
      <alignment horizontal="right"/>
    </xf>
    <xf numFmtId="0" fontId="3" fillId="0" borderId="4" xfId="1" applyNumberFormat="1" applyFont="1" applyFill="1" applyBorder="1" applyAlignment="1" applyProtection="1">
      <alignment horizontal="right" wrapText="1"/>
    </xf>
    <xf numFmtId="164" fontId="3" fillId="0" borderId="4" xfId="1" applyFont="1" applyFill="1" applyBorder="1" applyAlignment="1" applyProtection="1">
      <alignment horizontal="right" wrapText="1"/>
    </xf>
    <xf numFmtId="0" fontId="3" fillId="0" borderId="4" xfId="32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32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>
      <alignment horizontal="right" wrapText="1"/>
    </xf>
    <xf numFmtId="164" fontId="3" fillId="0" borderId="4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4" xfId="32" applyNumberFormat="1" applyFont="1" applyFill="1" applyBorder="1" applyAlignment="1">
      <alignment horizontal="right"/>
    </xf>
    <xf numFmtId="0" fontId="3" fillId="0" borderId="1" xfId="32" applyNumberFormat="1" applyFont="1" applyFill="1" applyBorder="1" applyAlignment="1">
      <alignment horizontal="right"/>
    </xf>
    <xf numFmtId="0" fontId="3" fillId="0" borderId="4" xfId="32" applyNumberFormat="1" applyFont="1" applyFill="1" applyBorder="1"/>
    <xf numFmtId="0" fontId="3" fillId="0" borderId="1" xfId="32" applyNumberFormat="1" applyFont="1" applyFill="1" applyBorder="1"/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4" xfId="30" applyNumberFormat="1" applyFont="1" applyFill="1" applyBorder="1" applyAlignment="1" applyProtection="1">
      <alignment horizontal="right" wrapText="1"/>
    </xf>
    <xf numFmtId="0" fontId="3" fillId="0" borderId="1" xfId="32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3" fillId="0" borderId="16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vertical="top"/>
    </xf>
    <xf numFmtId="0" fontId="3" fillId="0" borderId="16" xfId="0" applyFont="1" applyFill="1" applyBorder="1" applyAlignment="1">
      <alignment horizontal="justify" vertical="top" wrapText="1"/>
    </xf>
    <xf numFmtId="174" fontId="3" fillId="0" borderId="16" xfId="0" applyNumberFormat="1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/>
    <xf numFmtId="0" fontId="5" fillId="0" borderId="16" xfId="33" applyNumberFormat="1" applyFont="1" applyFill="1" applyBorder="1" applyAlignment="1" applyProtection="1">
      <alignment horizontal="right"/>
    </xf>
    <xf numFmtId="0" fontId="3" fillId="0" borderId="0" xfId="33" applyNumberFormat="1" applyFont="1" applyFill="1" applyBorder="1" applyAlignment="1" applyProtection="1">
      <alignment horizontal="left"/>
    </xf>
    <xf numFmtId="0" fontId="4" fillId="0" borderId="0" xfId="32" applyNumberFormat="1" applyFont="1" applyFill="1" applyBorder="1" applyAlignment="1" applyProtection="1">
      <alignment horizontal="center"/>
    </xf>
    <xf numFmtId="0" fontId="3" fillId="0" borderId="3" xfId="33" applyNumberFormat="1" applyFont="1" applyFill="1" applyBorder="1" applyAlignment="1" applyProtection="1">
      <alignment vertical="top"/>
    </xf>
    <xf numFmtId="0" fontId="3" fillId="0" borderId="0" xfId="32" applyFont="1" applyFill="1" applyBorder="1" applyAlignment="1" applyProtection="1">
      <alignment horizontal="right"/>
    </xf>
    <xf numFmtId="0" fontId="3" fillId="0" borderId="3" xfId="33" applyNumberFormat="1" applyFont="1" applyFill="1" applyBorder="1" applyAlignment="1" applyProtection="1">
      <alignment horizontal="right" vertical="top" wrapText="1"/>
    </xf>
    <xf numFmtId="0" fontId="3" fillId="0" borderId="0" xfId="34" applyFont="1" applyFill="1" applyAlignment="1" applyProtection="1">
      <alignment horizontal="right" vertical="top"/>
    </xf>
    <xf numFmtId="0" fontId="3" fillId="0" borderId="0" xfId="33" applyNumberFormat="1" applyFont="1" applyFill="1" applyBorder="1" applyAlignment="1" applyProtection="1">
      <alignment horizontal="left" vertical="top"/>
    </xf>
    <xf numFmtId="0" fontId="3" fillId="0" borderId="0" xfId="32" applyNumberFormat="1" applyFont="1" applyFill="1" applyAlignment="1">
      <alignment horizontal="left" vertical="top" wrapText="1"/>
    </xf>
    <xf numFmtId="0" fontId="4" fillId="0" borderId="0" xfId="32" applyNumberFormat="1" applyFont="1" applyFill="1" applyBorder="1" applyAlignment="1" applyProtection="1">
      <alignment horizontal="center" wrapText="1"/>
    </xf>
    <xf numFmtId="0" fontId="4" fillId="0" borderId="0" xfId="32" applyNumberFormat="1" applyFont="1" applyFill="1" applyBorder="1" applyAlignment="1" applyProtection="1">
      <alignment horizontal="center"/>
    </xf>
    <xf numFmtId="0" fontId="3" fillId="0" borderId="0" xfId="32" applyFont="1" applyFill="1" applyBorder="1" applyAlignment="1" applyProtection="1">
      <alignment horizontal="right"/>
    </xf>
    <xf numFmtId="0" fontId="1" fillId="0" borderId="0" xfId="29" applyFont="1" applyBorder="1" applyAlignment="1">
      <alignment horizontal="center"/>
    </xf>
    <xf numFmtId="0" fontId="1" fillId="0" borderId="0" xfId="29" applyBorder="1" applyAlignment="1">
      <alignment horizontal="center"/>
    </xf>
    <xf numFmtId="0" fontId="1" fillId="0" borderId="2" xfId="29" applyBorder="1" applyAlignment="1">
      <alignment horizontal="center"/>
    </xf>
    <xf numFmtId="0" fontId="1" fillId="0" borderId="2" xfId="29" applyFont="1" applyBorder="1" applyAlignment="1">
      <alignment horizontal="center" vertical="center" wrapText="1"/>
    </xf>
    <xf numFmtId="0" fontId="1" fillId="0" borderId="2" xfId="29" applyFont="1" applyBorder="1" applyAlignment="1">
      <alignment horizontal="center" vertical="center"/>
    </xf>
    <xf numFmtId="0" fontId="1" fillId="0" borderId="2" xfId="29" applyFont="1" applyBorder="1" applyAlignment="1">
      <alignment horizontal="center"/>
    </xf>
    <xf numFmtId="0" fontId="1" fillId="0" borderId="15" xfId="29" applyFont="1" applyBorder="1" applyAlignment="1">
      <alignment horizontal="center" vertical="center"/>
    </xf>
    <xf numFmtId="0" fontId="1" fillId="0" borderId="13" xfId="29" applyFont="1" applyBorder="1" applyAlignment="1">
      <alignment horizontal="center" vertical="center"/>
    </xf>
    <xf numFmtId="0" fontId="1" fillId="0" borderId="0" xfId="29" applyFont="1" applyBorder="1" applyAlignment="1">
      <alignment horizontal="center" vertical="center"/>
    </xf>
    <xf numFmtId="0" fontId="1" fillId="0" borderId="2" xfId="29" applyFont="1" applyFill="1" applyBorder="1" applyAlignment="1">
      <alignment horizontal="center" vertical="center" wrapText="1"/>
    </xf>
    <xf numFmtId="0" fontId="1" fillId="0" borderId="2" xfId="29" applyFill="1" applyBorder="1" applyAlignment="1">
      <alignment horizontal="center" vertical="center"/>
    </xf>
    <xf numFmtId="0" fontId="7" fillId="0" borderId="10" xfId="29" applyFont="1" applyBorder="1" applyAlignment="1">
      <alignment horizontal="center"/>
    </xf>
    <xf numFmtId="0" fontId="7" fillId="0" borderId="3" xfId="29" applyFont="1" applyBorder="1" applyAlignment="1">
      <alignment horizontal="center"/>
    </xf>
    <xf numFmtId="0" fontId="7" fillId="0" borderId="9" xfId="29" applyFont="1" applyBorder="1" applyAlignment="1">
      <alignment horizontal="center"/>
    </xf>
    <xf numFmtId="0" fontId="1" fillId="5" borderId="2" xfId="29" applyFill="1" applyBorder="1" applyAlignment="1">
      <alignment horizontal="center"/>
    </xf>
    <xf numFmtId="0" fontId="1" fillId="4" borderId="11" xfId="29" applyFill="1" applyBorder="1" applyAlignment="1">
      <alignment horizontal="center"/>
    </xf>
    <xf numFmtId="0" fontId="1" fillId="4" borderId="14" xfId="29" applyFill="1" applyBorder="1" applyAlignment="1">
      <alignment horizontal="center"/>
    </xf>
    <xf numFmtId="0" fontId="1" fillId="4" borderId="12" xfId="29" applyFill="1" applyBorder="1" applyAlignment="1">
      <alignment horizontal="center"/>
    </xf>
    <xf numFmtId="0" fontId="1" fillId="4" borderId="10" xfId="29" applyFill="1" applyBorder="1" applyAlignment="1">
      <alignment horizontal="center" vertical="top" wrapText="1"/>
    </xf>
    <xf numFmtId="0" fontId="1" fillId="4" borderId="8" xfId="29" applyFill="1" applyBorder="1" applyAlignment="1">
      <alignment horizontal="center" vertical="top" wrapText="1"/>
    </xf>
    <xf numFmtId="0" fontId="1" fillId="4" borderId="6" xfId="29" applyFill="1" applyBorder="1" applyAlignment="1">
      <alignment horizontal="center" vertical="top" wrapText="1"/>
    </xf>
    <xf numFmtId="0" fontId="7" fillId="3" borderId="8" xfId="29" applyFont="1" applyFill="1" applyBorder="1" applyAlignment="1">
      <alignment horizontal="center"/>
    </xf>
    <xf numFmtId="0" fontId="7" fillId="3" borderId="0" xfId="29" applyFont="1" applyFill="1" applyBorder="1" applyAlignment="1">
      <alignment horizontal="center"/>
    </xf>
    <xf numFmtId="0" fontId="1" fillId="0" borderId="2" xfId="29" applyFont="1" applyBorder="1" applyAlignment="1">
      <alignment horizontal="center" wrapText="1"/>
    </xf>
    <xf numFmtId="0" fontId="1" fillId="0" borderId="11" xfId="29" applyFont="1" applyBorder="1" applyAlignment="1">
      <alignment horizontal="center" wrapText="1"/>
    </xf>
    <xf numFmtId="0" fontId="1" fillId="0" borderId="12" xfId="29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6" fillId="0" borderId="1" xfId="0" applyFont="1" applyBorder="1" applyAlignment="1">
      <alignment horizontal="right"/>
    </xf>
    <xf numFmtId="0" fontId="1" fillId="4" borderId="2" xfId="29" applyFill="1" applyBorder="1" applyAlignment="1">
      <alignment horizontal="center"/>
    </xf>
    <xf numFmtId="0" fontId="27" fillId="0" borderId="0" xfId="0" applyFont="1" applyFill="1" applyAlignment="1">
      <alignment horizontal="center" wrapText="1"/>
    </xf>
    <xf numFmtId="0" fontId="26" fillId="0" borderId="1" xfId="0" applyFont="1" applyFill="1" applyBorder="1" applyAlignment="1">
      <alignment horizontal="right"/>
    </xf>
    <xf numFmtId="0" fontId="1" fillId="6" borderId="2" xfId="29" applyFill="1" applyBorder="1" applyAlignment="1">
      <alignment horizontal="center"/>
    </xf>
    <xf numFmtId="0" fontId="1" fillId="6" borderId="2" xfId="29" applyFill="1" applyBorder="1" applyAlignment="1">
      <alignment horizontal="left"/>
    </xf>
    <xf numFmtId="0" fontId="3" fillId="3" borderId="2" xfId="32" applyFont="1" applyFill="1" applyBorder="1" applyAlignment="1">
      <alignment horizontal="center" vertical="top" wrapText="1"/>
    </xf>
    <xf numFmtId="0" fontId="1" fillId="3" borderId="2" xfId="29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9" fillId="2" borderId="15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13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right" wrapText="1"/>
    </xf>
  </cellXfs>
  <cellStyles count="37">
    <cellStyle name="Comma" xfId="1" builtinId="3"/>
    <cellStyle name="Comma 10" xfId="2"/>
    <cellStyle name="Comma 11" xfId="3"/>
    <cellStyle name="Comma 12" xfId="4"/>
    <cellStyle name="Comma 13" xfId="5"/>
    <cellStyle name="Comma 15" xfId="6"/>
    <cellStyle name="Comma 16" xfId="7"/>
    <cellStyle name="Comma 17" xfId="8"/>
    <cellStyle name="Comma 18" xfId="9"/>
    <cellStyle name="Comma 19" xfId="10"/>
    <cellStyle name="Comma 2" xfId="11"/>
    <cellStyle name="Comma 2 14" xfId="12"/>
    <cellStyle name="Comma 20" xfId="13"/>
    <cellStyle name="Comma 21" xfId="14"/>
    <cellStyle name="Comma 22" xfId="15"/>
    <cellStyle name="Comma 23" xfId="16"/>
    <cellStyle name="Comma 24" xfId="17"/>
    <cellStyle name="Comma 3" xfId="18"/>
    <cellStyle name="Comma 4" xfId="19"/>
    <cellStyle name="Comma 5" xfId="20"/>
    <cellStyle name="Comma 6" xfId="21"/>
    <cellStyle name="Comma 7" xfId="22"/>
    <cellStyle name="Comma 8" xfId="23"/>
    <cellStyle name="Comma 9" xfId="24"/>
    <cellStyle name="Normal" xfId="0" builtinId="0"/>
    <cellStyle name="Normal 17" xfId="25"/>
    <cellStyle name="Normal 2" xfId="26"/>
    <cellStyle name="Normal 2 14" xfId="27"/>
    <cellStyle name="Normal 3" xfId="28"/>
    <cellStyle name="Normal 4" xfId="29"/>
    <cellStyle name="Normal_budget 2004-05_2.6.04" xfId="30"/>
    <cellStyle name="Normal_BUDGET FOR  03-04" xfId="31"/>
    <cellStyle name="Normal_budget for 03-04" xfId="32"/>
    <cellStyle name="Normal_BUDGET-2000" xfId="33"/>
    <cellStyle name="Normal_budgetDocNIC02-03" xfId="34"/>
    <cellStyle name="Normal_RECEIPT" xfId="36"/>
    <cellStyle name="Normal_RECEIPT 2" xfId="3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en-US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'dem43'!$D$229</c:f>
              <c:strCache>
                <c:ptCount val="1"/>
              </c:strCache>
            </c:strRef>
          </c:tx>
          <c:val>
            <c:numRef>
              <c:f>'dem43'!$E$229:$J$229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142-88AE-D91EC943A604}"/>
            </c:ext>
          </c:extLst>
        </c:ser>
        <c:axId val="63413632"/>
        <c:axId val="63419904"/>
      </c:barChart>
      <c:catAx>
        <c:axId val="634136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3419904"/>
        <c:crosses val="autoZero"/>
        <c:auto val="1"/>
        <c:lblAlgn val="ctr"/>
        <c:lblOffset val="100"/>
      </c:catAx>
      <c:valAx>
        <c:axId val="634199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gap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84496</xdr:colOff>
      <xdr:row>226</xdr:row>
      <xdr:rowOff>145948</xdr:rowOff>
    </xdr:from>
    <xdr:to>
      <xdr:col>10</xdr:col>
      <xdr:colOff>0</xdr:colOff>
      <xdr:row>243</xdr:row>
      <xdr:rowOff>145948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36</xdr:row>
      <xdr:rowOff>114299</xdr:rowOff>
    </xdr:from>
    <xdr:to>
      <xdr:col>9</xdr:col>
      <xdr:colOff>276226</xdr:colOff>
      <xdr:row>50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CxnSpPr/>
      </xdr:nvCxnSpPr>
      <xdr:spPr>
        <a:xfrm rot="10800000" flipV="1">
          <a:off x="2981326" y="6781799"/>
          <a:ext cx="5543550" cy="23907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36</xdr:row>
      <xdr:rowOff>123829</xdr:rowOff>
    </xdr:from>
    <xdr:to>
      <xdr:col>10</xdr:col>
      <xdr:colOff>228604</xdr:colOff>
      <xdr:row>65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CxnSpPr/>
      </xdr:nvCxnSpPr>
      <xdr:spPr>
        <a:xfrm rot="10800000" flipV="1">
          <a:off x="3771904" y="6791329"/>
          <a:ext cx="5400675" cy="498157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943225" y="419100"/>
          <a:ext cx="5057775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2914650" y="723900"/>
          <a:ext cx="564832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2914650" y="1400175"/>
          <a:ext cx="6486525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35</xdr:row>
      <xdr:rowOff>114299</xdr:rowOff>
    </xdr:from>
    <xdr:to>
      <xdr:col>9</xdr:col>
      <xdr:colOff>276226</xdr:colOff>
      <xdr:row>48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 rot="10800000" flipV="1">
          <a:off x="2981326" y="6448424"/>
          <a:ext cx="5410200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35</xdr:row>
      <xdr:rowOff>123829</xdr:rowOff>
    </xdr:from>
    <xdr:to>
      <xdr:col>10</xdr:col>
      <xdr:colOff>228604</xdr:colOff>
      <xdr:row>63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 rot="10800000" flipV="1">
          <a:off x="3705229" y="6457954"/>
          <a:ext cx="5334000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943225" y="419100"/>
          <a:ext cx="4991100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914650" y="723900"/>
          <a:ext cx="551497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914650" y="1400175"/>
          <a:ext cx="6353175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35</xdr:row>
      <xdr:rowOff>114299</xdr:rowOff>
    </xdr:from>
    <xdr:to>
      <xdr:col>9</xdr:col>
      <xdr:colOff>276226</xdr:colOff>
      <xdr:row>48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 rot="10800000" flipV="1">
          <a:off x="2981326" y="6448424"/>
          <a:ext cx="5448300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35</xdr:row>
      <xdr:rowOff>123829</xdr:rowOff>
    </xdr:from>
    <xdr:to>
      <xdr:col>10</xdr:col>
      <xdr:colOff>228604</xdr:colOff>
      <xdr:row>63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 rot="10800000" flipV="1">
          <a:off x="3743329" y="6457954"/>
          <a:ext cx="5334000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43225" y="419100"/>
          <a:ext cx="5029200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914650" y="723900"/>
          <a:ext cx="555307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914650" y="1400175"/>
          <a:ext cx="6391275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35</xdr:row>
      <xdr:rowOff>114299</xdr:rowOff>
    </xdr:from>
    <xdr:to>
      <xdr:col>9</xdr:col>
      <xdr:colOff>276226</xdr:colOff>
      <xdr:row>48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 rot="10800000" flipV="1">
          <a:off x="2981326" y="6448424"/>
          <a:ext cx="5410200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35</xdr:row>
      <xdr:rowOff>123829</xdr:rowOff>
    </xdr:from>
    <xdr:to>
      <xdr:col>10</xdr:col>
      <xdr:colOff>228604</xdr:colOff>
      <xdr:row>63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rot="10800000" flipV="1">
          <a:off x="3705229" y="6457954"/>
          <a:ext cx="5334000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943225" y="419100"/>
          <a:ext cx="4991100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2914650" y="723900"/>
          <a:ext cx="551497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2914650" y="1400175"/>
          <a:ext cx="6353175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35</xdr:row>
      <xdr:rowOff>114299</xdr:rowOff>
    </xdr:from>
    <xdr:to>
      <xdr:col>9</xdr:col>
      <xdr:colOff>276226</xdr:colOff>
      <xdr:row>48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 rot="10800000" flipV="1">
          <a:off x="2981326" y="6353174"/>
          <a:ext cx="5419725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35</xdr:row>
      <xdr:rowOff>123829</xdr:rowOff>
    </xdr:from>
    <xdr:to>
      <xdr:col>10</xdr:col>
      <xdr:colOff>228604</xdr:colOff>
      <xdr:row>63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rot="10800000" flipV="1">
          <a:off x="3714754" y="6362704"/>
          <a:ext cx="5343525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2943225" y="419100"/>
          <a:ext cx="5000625" cy="4371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2914650" y="723900"/>
          <a:ext cx="5524500" cy="40290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2914650" y="1400175"/>
          <a:ext cx="6372225" cy="3324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35</xdr:row>
      <xdr:rowOff>114299</xdr:rowOff>
    </xdr:from>
    <xdr:to>
      <xdr:col>9</xdr:col>
      <xdr:colOff>276226</xdr:colOff>
      <xdr:row>48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rot="10800000" flipV="1">
          <a:off x="2981326" y="6448424"/>
          <a:ext cx="5448300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35</xdr:row>
      <xdr:rowOff>123829</xdr:rowOff>
    </xdr:from>
    <xdr:to>
      <xdr:col>10</xdr:col>
      <xdr:colOff>228604</xdr:colOff>
      <xdr:row>63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 rot="10800000" flipV="1">
          <a:off x="3743329" y="6457954"/>
          <a:ext cx="5334000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2943225" y="419100"/>
          <a:ext cx="5029200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2914650" y="723900"/>
          <a:ext cx="555307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2914650" y="1400175"/>
          <a:ext cx="6391275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36</xdr:row>
      <xdr:rowOff>114299</xdr:rowOff>
    </xdr:from>
    <xdr:to>
      <xdr:col>9</xdr:col>
      <xdr:colOff>276226</xdr:colOff>
      <xdr:row>50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 rot="10800000" flipV="1">
          <a:off x="2981326" y="6448424"/>
          <a:ext cx="5410200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36</xdr:row>
      <xdr:rowOff>123829</xdr:rowOff>
    </xdr:from>
    <xdr:to>
      <xdr:col>10</xdr:col>
      <xdr:colOff>228604</xdr:colOff>
      <xdr:row>65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 rot="10800000" flipV="1">
          <a:off x="3705229" y="6457954"/>
          <a:ext cx="5334000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2943225" y="419100"/>
          <a:ext cx="4991100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2914650" y="723900"/>
          <a:ext cx="551497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2914650" y="1400175"/>
          <a:ext cx="6353175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36</xdr:row>
      <xdr:rowOff>114299</xdr:rowOff>
    </xdr:from>
    <xdr:to>
      <xdr:col>9</xdr:col>
      <xdr:colOff>276226</xdr:colOff>
      <xdr:row>50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CxnSpPr/>
      </xdr:nvCxnSpPr>
      <xdr:spPr>
        <a:xfrm rot="10800000" flipV="1">
          <a:off x="2981326" y="6353174"/>
          <a:ext cx="5419725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657229</xdr:colOff>
      <xdr:row>36</xdr:row>
      <xdr:rowOff>123829</xdr:rowOff>
    </xdr:from>
    <xdr:to>
      <xdr:col>10</xdr:col>
      <xdr:colOff>228604</xdr:colOff>
      <xdr:row>65</xdr:row>
      <xdr:rowOff>85728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CxnSpPr/>
      </xdr:nvCxnSpPr>
      <xdr:spPr>
        <a:xfrm rot="10800000" flipV="1">
          <a:off x="3714754" y="6362704"/>
          <a:ext cx="5343525" cy="46577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2943225" y="419100"/>
          <a:ext cx="5000625" cy="4371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2914650" y="723900"/>
          <a:ext cx="5524500" cy="40290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2914650" y="1400175"/>
          <a:ext cx="6372225" cy="3324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628651</xdr:colOff>
      <xdr:row>36</xdr:row>
      <xdr:rowOff>114299</xdr:rowOff>
    </xdr:from>
    <xdr:to>
      <xdr:col>9</xdr:col>
      <xdr:colOff>276226</xdr:colOff>
      <xdr:row>50</xdr:row>
      <xdr:rowOff>76199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CxnSpPr/>
      </xdr:nvCxnSpPr>
      <xdr:spPr>
        <a:xfrm rot="10800000" flipV="1">
          <a:off x="2981326" y="6448424"/>
          <a:ext cx="5562600" cy="20669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809629</xdr:colOff>
      <xdr:row>37</xdr:row>
      <xdr:rowOff>9529</xdr:rowOff>
    </xdr:from>
    <xdr:to>
      <xdr:col>10</xdr:col>
      <xdr:colOff>381004</xdr:colOff>
      <xdr:row>65</xdr:row>
      <xdr:rowOff>133353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CxnSpPr/>
      </xdr:nvCxnSpPr>
      <xdr:spPr>
        <a:xfrm rot="10800000" flipV="1">
          <a:off x="4257679" y="6667504"/>
          <a:ext cx="5457825" cy="48196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</xdr:row>
      <xdr:rowOff>95250</xdr:rowOff>
    </xdr:from>
    <xdr:to>
      <xdr:col>8</xdr:col>
      <xdr:colOff>438150</xdr:colOff>
      <xdr:row>27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2943225" y="419100"/>
          <a:ext cx="5067300" cy="4467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4</xdr:row>
      <xdr:rowOff>76200</xdr:rowOff>
    </xdr:from>
    <xdr:to>
      <xdr:col>9</xdr:col>
      <xdr:colOff>314325</xdr:colOff>
      <xdr:row>27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2914650" y="723900"/>
          <a:ext cx="5667375" cy="4124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8</xdr:row>
      <xdr:rowOff>104775</xdr:rowOff>
    </xdr:from>
    <xdr:to>
      <xdr:col>10</xdr:col>
      <xdr:colOff>457200</xdr:colOff>
      <xdr:row>27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2914650" y="1400175"/>
          <a:ext cx="6515100" cy="3419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Users\Mahendra\AppData\Roaming\Microsoft\Excel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48" transitionEvaluation="1" codeName="Sheet3"/>
  <dimension ref="A1:J222"/>
  <sheetViews>
    <sheetView tabSelected="1" view="pageBreakPreview" topLeftCell="A148" zoomScaleSheetLayoutView="100" workbookViewId="0">
      <selection activeCell="E155" sqref="E155"/>
    </sheetView>
  </sheetViews>
  <sheetFormatPr defaultColWidth="11" defaultRowHeight="13.2"/>
  <cols>
    <col min="1" max="1" width="6.5546875" style="355" customWidth="1"/>
    <col min="2" max="2" width="8.21875" style="316" customWidth="1"/>
    <col min="3" max="3" width="40.77734375" style="1" customWidth="1"/>
    <col min="4" max="4" width="11.21875" style="310" customWidth="1"/>
    <col min="5" max="5" width="9.77734375" style="310" customWidth="1"/>
    <col min="6" max="6" width="11.77734375" style="310" customWidth="1"/>
    <col min="7" max="7" width="9.21875" style="310" customWidth="1"/>
    <col min="8" max="8" width="11.77734375" style="359" customWidth="1"/>
    <col min="9" max="9" width="9.21875" style="310" customWidth="1"/>
    <col min="10" max="10" width="13.77734375" style="310" customWidth="1"/>
    <col min="11" max="16384" width="11" style="359"/>
  </cols>
  <sheetData>
    <row r="1" spans="1:10" ht="13.2" customHeight="1">
      <c r="A1" s="480" t="s">
        <v>309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>
      <c r="A2" s="481" t="s">
        <v>310</v>
      </c>
      <c r="B2" s="481"/>
      <c r="C2" s="481"/>
      <c r="D2" s="481"/>
      <c r="E2" s="481"/>
      <c r="F2" s="481"/>
      <c r="G2" s="481"/>
      <c r="H2" s="481"/>
      <c r="I2" s="481"/>
      <c r="J2" s="481"/>
    </row>
    <row r="3" spans="1:10" ht="7.95" customHeight="1">
      <c r="A3" s="300"/>
      <c r="B3" s="301"/>
      <c r="C3" s="302"/>
      <c r="D3" s="473"/>
      <c r="E3" s="473"/>
      <c r="F3" s="473"/>
      <c r="G3" s="473"/>
      <c r="H3" s="303"/>
      <c r="I3" s="473"/>
      <c r="J3" s="473"/>
    </row>
    <row r="4" spans="1:10">
      <c r="A4" s="482" t="s">
        <v>10</v>
      </c>
      <c r="B4" s="482"/>
      <c r="C4" s="482"/>
      <c r="D4" s="482"/>
      <c r="E4" s="304">
        <v>2015</v>
      </c>
      <c r="F4" s="305" t="s">
        <v>11</v>
      </c>
      <c r="G4" s="306"/>
      <c r="H4" s="303"/>
      <c r="I4" s="473"/>
      <c r="J4" s="473"/>
    </row>
    <row r="5" spans="1:10">
      <c r="A5" s="307"/>
      <c r="B5" s="307"/>
      <c r="D5" s="281" t="s">
        <v>57</v>
      </c>
      <c r="E5" s="308">
        <v>2202</v>
      </c>
      <c r="F5" s="309" t="s">
        <v>13</v>
      </c>
      <c r="G5" s="306"/>
      <c r="H5" s="303"/>
      <c r="I5" s="473"/>
      <c r="J5" s="473"/>
    </row>
    <row r="6" spans="1:10">
      <c r="A6" s="307"/>
      <c r="B6" s="307"/>
      <c r="C6" s="475"/>
      <c r="D6" s="281" t="s">
        <v>116</v>
      </c>
      <c r="E6" s="308">
        <v>2515</v>
      </c>
      <c r="F6" s="309" t="s">
        <v>0</v>
      </c>
      <c r="H6" s="303"/>
      <c r="I6" s="473"/>
      <c r="J6" s="473"/>
    </row>
    <row r="7" spans="1:10" s="432" customFormat="1" ht="13.2" customHeight="1">
      <c r="A7" s="307"/>
      <c r="B7" s="307"/>
      <c r="C7" s="307"/>
      <c r="D7" s="363" t="s">
        <v>63</v>
      </c>
      <c r="E7" s="311">
        <v>3604</v>
      </c>
      <c r="F7" s="479" t="s">
        <v>58</v>
      </c>
      <c r="G7" s="479"/>
      <c r="H7" s="479"/>
      <c r="I7" s="479"/>
      <c r="J7" s="479"/>
    </row>
    <row r="8" spans="1:10">
      <c r="A8" s="307"/>
      <c r="B8" s="307"/>
      <c r="C8" s="475"/>
      <c r="D8" s="281"/>
      <c r="E8" s="311"/>
      <c r="F8" s="312"/>
      <c r="G8" s="306"/>
      <c r="H8" s="303"/>
      <c r="I8" s="473"/>
      <c r="J8" s="473"/>
    </row>
    <row r="9" spans="1:10" s="432" customFormat="1" ht="15" customHeight="1">
      <c r="A9" s="313" t="s">
        <v>312</v>
      </c>
      <c r="B9" s="313"/>
      <c r="C9" s="313"/>
      <c r="D9" s="364"/>
      <c r="E9" s="364"/>
      <c r="F9" s="364"/>
      <c r="G9" s="364"/>
      <c r="H9" s="364"/>
      <c r="I9" s="364"/>
      <c r="J9" s="365"/>
    </row>
    <row r="10" spans="1:10">
      <c r="A10" s="1"/>
      <c r="D10" s="317"/>
      <c r="E10" s="361" t="s">
        <v>8</v>
      </c>
      <c r="F10" s="361" t="s">
        <v>9</v>
      </c>
      <c r="G10" s="361" t="s">
        <v>3</v>
      </c>
      <c r="H10" s="361"/>
    </row>
    <row r="11" spans="1:10" ht="13.8">
      <c r="A11" s="1"/>
      <c r="D11" s="473" t="s">
        <v>1</v>
      </c>
      <c r="E11" s="407">
        <f>J203</f>
        <v>3188514</v>
      </c>
      <c r="F11" s="362" t="s">
        <v>311</v>
      </c>
      <c r="G11" s="473">
        <f>F11+E11</f>
        <v>3188514</v>
      </c>
      <c r="H11" s="473"/>
    </row>
    <row r="12" spans="1:10" ht="9.6" customHeight="1">
      <c r="A12" s="1"/>
      <c r="D12" s="319"/>
      <c r="E12" s="473"/>
      <c r="F12" s="320"/>
      <c r="G12" s="473"/>
      <c r="H12" s="310"/>
    </row>
    <row r="13" spans="1:10">
      <c r="A13" s="313" t="s">
        <v>7</v>
      </c>
      <c r="B13" s="313"/>
      <c r="C13" s="314"/>
      <c r="D13" s="315"/>
      <c r="H13" s="310"/>
    </row>
    <row r="14" spans="1:10">
      <c r="A14" s="234"/>
      <c r="B14" s="235"/>
      <c r="C14" s="236"/>
      <c r="D14" s="237"/>
      <c r="E14" s="237"/>
      <c r="F14" s="237"/>
      <c r="G14" s="237"/>
      <c r="H14" s="237"/>
      <c r="I14" s="238"/>
      <c r="J14" s="2" t="s">
        <v>101</v>
      </c>
    </row>
    <row r="15" spans="1:10" s="366" customFormat="1" ht="13.2" customHeight="1">
      <c r="A15" s="239"/>
      <c r="B15" s="240"/>
      <c r="C15" s="434"/>
      <c r="D15" s="474" t="s">
        <v>330</v>
      </c>
      <c r="E15" s="474"/>
      <c r="F15" s="478" t="s">
        <v>331</v>
      </c>
      <c r="G15" s="478"/>
      <c r="H15" s="478" t="s">
        <v>332</v>
      </c>
      <c r="I15" s="478"/>
      <c r="J15" s="476" t="s">
        <v>295</v>
      </c>
    </row>
    <row r="16" spans="1:10" s="366" customFormat="1">
      <c r="A16" s="234"/>
      <c r="B16" s="235"/>
      <c r="C16" s="241" t="s">
        <v>2</v>
      </c>
      <c r="D16" s="472" t="s">
        <v>333</v>
      </c>
      <c r="E16" s="472"/>
      <c r="F16" s="472" t="s">
        <v>334</v>
      </c>
      <c r="G16" s="472"/>
      <c r="H16" s="472" t="s">
        <v>335</v>
      </c>
      <c r="I16" s="472"/>
      <c r="J16" s="477" t="s">
        <v>203</v>
      </c>
    </row>
    <row r="17" spans="1:10" s="366" customFormat="1">
      <c r="A17" s="242"/>
      <c r="B17" s="243"/>
      <c r="C17" s="236"/>
      <c r="D17" s="244"/>
      <c r="E17" s="244"/>
      <c r="F17" s="244"/>
      <c r="G17" s="244"/>
      <c r="H17" s="244"/>
      <c r="I17" s="244"/>
      <c r="J17" s="245"/>
    </row>
    <row r="18" spans="1:10" ht="15" customHeight="1">
      <c r="A18" s="321"/>
      <c r="B18" s="322"/>
      <c r="C18" s="323" t="s">
        <v>4</v>
      </c>
      <c r="D18" s="281"/>
      <c r="E18" s="281"/>
      <c r="F18" s="281"/>
      <c r="G18" s="305"/>
      <c r="H18" s="281"/>
      <c r="I18" s="281"/>
      <c r="J18" s="281"/>
    </row>
    <row r="19" spans="1:10" ht="15" customHeight="1">
      <c r="A19" s="324" t="s">
        <v>5</v>
      </c>
      <c r="B19" s="325">
        <v>2015</v>
      </c>
      <c r="C19" s="326" t="s">
        <v>11</v>
      </c>
      <c r="D19" s="281"/>
      <c r="E19" s="281"/>
      <c r="F19" s="281"/>
      <c r="G19" s="305"/>
      <c r="H19" s="281"/>
      <c r="I19" s="281"/>
      <c r="J19" s="281"/>
    </row>
    <row r="20" spans="1:10" ht="15" customHeight="1">
      <c r="A20" s="324"/>
      <c r="B20" s="327">
        <v>0.10100000000000001</v>
      </c>
      <c r="C20" s="326" t="s">
        <v>21</v>
      </c>
      <c r="D20" s="328"/>
      <c r="E20" s="328"/>
      <c r="F20" s="328"/>
      <c r="G20" s="328"/>
      <c r="H20" s="328"/>
      <c r="I20" s="328"/>
      <c r="J20" s="328"/>
    </row>
    <row r="21" spans="1:10" ht="15" customHeight="1">
      <c r="A21" s="324"/>
      <c r="B21" s="329">
        <v>60</v>
      </c>
      <c r="C21" s="330" t="s">
        <v>22</v>
      </c>
      <c r="D21" s="328"/>
      <c r="E21" s="328"/>
      <c r="F21" s="328"/>
      <c r="G21" s="328"/>
      <c r="H21" s="328"/>
      <c r="I21" s="328"/>
      <c r="J21" s="328"/>
    </row>
    <row r="22" spans="1:10" ht="15" customHeight="1">
      <c r="A22" s="324"/>
      <c r="B22" s="331" t="s">
        <v>23</v>
      </c>
      <c r="C22" s="330" t="s">
        <v>24</v>
      </c>
      <c r="D22" s="333">
        <v>11570</v>
      </c>
      <c r="E22" s="332"/>
      <c r="F22" s="333">
        <v>13541</v>
      </c>
      <c r="G22" s="332"/>
      <c r="H22" s="333">
        <v>13541</v>
      </c>
      <c r="I22" s="332"/>
      <c r="J22" s="281">
        <v>15572</v>
      </c>
    </row>
    <row r="23" spans="1:10" ht="15" customHeight="1">
      <c r="A23" s="324"/>
      <c r="B23" s="331" t="s">
        <v>321</v>
      </c>
      <c r="C23" s="330" t="s">
        <v>322</v>
      </c>
      <c r="D23" s="332">
        <v>0</v>
      </c>
      <c r="E23" s="332"/>
      <c r="F23" s="332">
        <v>0</v>
      </c>
      <c r="G23" s="332"/>
      <c r="H23" s="332">
        <v>0</v>
      </c>
      <c r="I23" s="332"/>
      <c r="J23" s="281">
        <v>610</v>
      </c>
    </row>
    <row r="24" spans="1:10" ht="15" customHeight="1">
      <c r="A24" s="324"/>
      <c r="B24" s="331" t="s">
        <v>25</v>
      </c>
      <c r="C24" s="330" t="s">
        <v>26</v>
      </c>
      <c r="D24" s="333">
        <v>65</v>
      </c>
      <c r="E24" s="332"/>
      <c r="F24" s="333">
        <v>220</v>
      </c>
      <c r="G24" s="332"/>
      <c r="H24" s="333">
        <v>220</v>
      </c>
      <c r="I24" s="332"/>
      <c r="J24" s="281">
        <v>165</v>
      </c>
    </row>
    <row r="25" spans="1:10" ht="15" customHeight="1">
      <c r="A25" s="324"/>
      <c r="B25" s="331" t="s">
        <v>27</v>
      </c>
      <c r="C25" s="330" t="s">
        <v>28</v>
      </c>
      <c r="D25" s="441">
        <v>2400</v>
      </c>
      <c r="E25" s="442"/>
      <c r="F25" s="441">
        <v>1200</v>
      </c>
      <c r="G25" s="442"/>
      <c r="H25" s="441">
        <v>1200</v>
      </c>
      <c r="I25" s="442"/>
      <c r="J25" s="443">
        <v>443</v>
      </c>
    </row>
    <row r="26" spans="1:10" ht="15" customHeight="1">
      <c r="A26" s="324" t="s">
        <v>3</v>
      </c>
      <c r="B26" s="329">
        <v>60</v>
      </c>
      <c r="C26" s="330" t="s">
        <v>22</v>
      </c>
      <c r="D26" s="444">
        <f t="shared" ref="D26:H26" si="0">SUM(D22:D25)</f>
        <v>14035</v>
      </c>
      <c r="E26" s="445"/>
      <c r="F26" s="444">
        <f t="shared" si="0"/>
        <v>14961</v>
      </c>
      <c r="G26" s="445"/>
      <c r="H26" s="444">
        <f t="shared" si="0"/>
        <v>14961</v>
      </c>
      <c r="I26" s="445"/>
      <c r="J26" s="446">
        <v>16790</v>
      </c>
    </row>
    <row r="27" spans="1:10" ht="15" customHeight="1">
      <c r="A27" s="324" t="s">
        <v>3</v>
      </c>
      <c r="B27" s="327">
        <v>0.10100000000000001</v>
      </c>
      <c r="C27" s="326" t="s">
        <v>21</v>
      </c>
      <c r="D27" s="444">
        <f t="shared" ref="D27:H27" si="1">D26</f>
        <v>14035</v>
      </c>
      <c r="E27" s="445"/>
      <c r="F27" s="444">
        <f t="shared" si="1"/>
        <v>14961</v>
      </c>
      <c r="G27" s="445"/>
      <c r="H27" s="444">
        <f t="shared" si="1"/>
        <v>14961</v>
      </c>
      <c r="I27" s="445"/>
      <c r="J27" s="446">
        <v>16790</v>
      </c>
    </row>
    <row r="28" spans="1:10" ht="10.95" customHeight="1">
      <c r="A28" s="324"/>
      <c r="B28" s="327"/>
      <c r="C28" s="326"/>
      <c r="D28" s="367"/>
      <c r="E28" s="367"/>
      <c r="F28" s="367"/>
      <c r="G28" s="367"/>
      <c r="H28" s="367"/>
      <c r="I28" s="367"/>
      <c r="J28" s="367"/>
    </row>
    <row r="29" spans="1:10" ht="15" customHeight="1">
      <c r="A29" s="324"/>
      <c r="B29" s="327">
        <v>0.10299999999999999</v>
      </c>
      <c r="C29" s="326" t="s">
        <v>293</v>
      </c>
      <c r="D29" s="367"/>
      <c r="E29" s="367"/>
      <c r="F29" s="367"/>
      <c r="G29" s="367"/>
      <c r="H29" s="367"/>
      <c r="I29" s="367"/>
      <c r="J29" s="367"/>
    </row>
    <row r="30" spans="1:10" ht="15" customHeight="1">
      <c r="A30" s="324"/>
      <c r="B30" s="329">
        <v>60</v>
      </c>
      <c r="C30" s="330" t="s">
        <v>22</v>
      </c>
      <c r="D30" s="367"/>
      <c r="E30" s="367"/>
      <c r="F30" s="367"/>
      <c r="G30" s="367"/>
      <c r="H30" s="367"/>
      <c r="I30" s="367"/>
      <c r="J30" s="367"/>
    </row>
    <row r="31" spans="1:10" ht="15" customHeight="1">
      <c r="A31" s="324"/>
      <c r="B31" s="329" t="s">
        <v>25</v>
      </c>
      <c r="C31" s="330" t="s">
        <v>26</v>
      </c>
      <c r="D31" s="332">
        <v>0</v>
      </c>
      <c r="E31" s="332"/>
      <c r="F31" s="333">
        <v>300</v>
      </c>
      <c r="G31" s="332"/>
      <c r="H31" s="333">
        <v>300</v>
      </c>
      <c r="I31" s="332"/>
      <c r="J31" s="281">
        <v>225</v>
      </c>
    </row>
    <row r="32" spans="1:10" ht="15" customHeight="1">
      <c r="A32" s="324"/>
      <c r="B32" s="329" t="s">
        <v>29</v>
      </c>
      <c r="C32" s="330" t="s">
        <v>30</v>
      </c>
      <c r="D32" s="333">
        <v>3313</v>
      </c>
      <c r="E32" s="332"/>
      <c r="F32" s="333">
        <v>1000</v>
      </c>
      <c r="G32" s="332"/>
      <c r="H32" s="333">
        <v>1000</v>
      </c>
      <c r="I32" s="332"/>
      <c r="J32" s="281">
        <v>750</v>
      </c>
    </row>
    <row r="33" spans="1:10" ht="15" customHeight="1">
      <c r="A33" s="324"/>
      <c r="B33" s="331" t="s">
        <v>31</v>
      </c>
      <c r="C33" s="330" t="s">
        <v>20</v>
      </c>
      <c r="D33" s="447">
        <v>2498</v>
      </c>
      <c r="E33" s="448"/>
      <c r="F33" s="447">
        <v>2500</v>
      </c>
      <c r="G33" s="448"/>
      <c r="H33" s="447">
        <v>2500</v>
      </c>
      <c r="I33" s="448"/>
      <c r="J33" s="449">
        <v>1875</v>
      </c>
    </row>
    <row r="34" spans="1:10" ht="15" customHeight="1">
      <c r="A34" s="324" t="s">
        <v>3</v>
      </c>
      <c r="B34" s="329">
        <v>60</v>
      </c>
      <c r="C34" s="330" t="s">
        <v>22</v>
      </c>
      <c r="D34" s="447">
        <f t="shared" ref="D34:H34" si="2">SUM(D31:D33)</f>
        <v>5811</v>
      </c>
      <c r="E34" s="448"/>
      <c r="F34" s="447">
        <f t="shared" si="2"/>
        <v>3800</v>
      </c>
      <c r="G34" s="448"/>
      <c r="H34" s="447">
        <f t="shared" si="2"/>
        <v>3800</v>
      </c>
      <c r="I34" s="448"/>
      <c r="J34" s="449">
        <v>2850</v>
      </c>
    </row>
    <row r="35" spans="1:10" ht="15" customHeight="1">
      <c r="A35" s="340" t="s">
        <v>3</v>
      </c>
      <c r="B35" s="436">
        <v>0.10299999999999999</v>
      </c>
      <c r="C35" s="437" t="s">
        <v>293</v>
      </c>
      <c r="D35" s="444">
        <f t="shared" ref="D35:H35" si="3">D34</f>
        <v>5811</v>
      </c>
      <c r="E35" s="445"/>
      <c r="F35" s="444">
        <f t="shared" si="3"/>
        <v>3800</v>
      </c>
      <c r="G35" s="445"/>
      <c r="H35" s="444">
        <f t="shared" si="3"/>
        <v>3800</v>
      </c>
      <c r="I35" s="445"/>
      <c r="J35" s="446">
        <v>2850</v>
      </c>
    </row>
    <row r="36" spans="1:10" ht="10.95" customHeight="1">
      <c r="A36" s="324"/>
      <c r="B36" s="331"/>
      <c r="C36" s="330"/>
      <c r="D36" s="390"/>
      <c r="E36" s="390"/>
      <c r="F36" s="390"/>
      <c r="G36" s="390"/>
      <c r="H36" s="390"/>
      <c r="I36" s="390"/>
      <c r="J36" s="390"/>
    </row>
    <row r="37" spans="1:10" ht="26.4">
      <c r="A37" s="324"/>
      <c r="B37" s="327">
        <v>0.109</v>
      </c>
      <c r="C37" s="326" t="s">
        <v>32</v>
      </c>
      <c r="D37" s="390"/>
      <c r="E37" s="390"/>
      <c r="F37" s="390"/>
      <c r="G37" s="390"/>
      <c r="H37" s="390"/>
      <c r="I37" s="390"/>
      <c r="J37" s="390"/>
    </row>
    <row r="38" spans="1:10" ht="13.95" customHeight="1">
      <c r="A38" s="324"/>
      <c r="B38" s="329">
        <v>61</v>
      </c>
      <c r="C38" s="330" t="s">
        <v>33</v>
      </c>
      <c r="D38" s="390"/>
      <c r="E38" s="390"/>
      <c r="F38" s="390"/>
      <c r="G38" s="390"/>
      <c r="H38" s="390"/>
      <c r="I38" s="390"/>
      <c r="J38" s="390"/>
    </row>
    <row r="39" spans="1:10" ht="13.95" customHeight="1">
      <c r="A39" s="324"/>
      <c r="B39" s="329" t="s">
        <v>34</v>
      </c>
      <c r="C39" s="330" t="s">
        <v>26</v>
      </c>
      <c r="D39" s="333">
        <v>700</v>
      </c>
      <c r="E39" s="332"/>
      <c r="F39" s="333">
        <v>400</v>
      </c>
      <c r="G39" s="332"/>
      <c r="H39" s="333">
        <v>400</v>
      </c>
      <c r="I39" s="332"/>
      <c r="J39" s="281">
        <v>300</v>
      </c>
    </row>
    <row r="40" spans="1:10" ht="13.95" customHeight="1">
      <c r="A40" s="324"/>
      <c r="B40" s="331" t="s">
        <v>35</v>
      </c>
      <c r="C40" s="330" t="s">
        <v>20</v>
      </c>
      <c r="D40" s="441">
        <v>42295</v>
      </c>
      <c r="E40" s="442"/>
      <c r="F40" s="441">
        <v>1495</v>
      </c>
      <c r="G40" s="442"/>
      <c r="H40" s="441">
        <v>1495</v>
      </c>
      <c r="I40" s="442"/>
      <c r="J40" s="443">
        <v>1121</v>
      </c>
    </row>
    <row r="41" spans="1:10" ht="13.95" customHeight="1">
      <c r="A41" s="324" t="s">
        <v>3</v>
      </c>
      <c r="B41" s="329">
        <v>61</v>
      </c>
      <c r="C41" s="330" t="s">
        <v>33</v>
      </c>
      <c r="D41" s="444">
        <f t="shared" ref="D41:H41" si="4">SUM(D39:D40)</f>
        <v>42995</v>
      </c>
      <c r="E41" s="445"/>
      <c r="F41" s="444">
        <f t="shared" si="4"/>
        <v>1895</v>
      </c>
      <c r="G41" s="445"/>
      <c r="H41" s="444">
        <f t="shared" si="4"/>
        <v>1895</v>
      </c>
      <c r="I41" s="445"/>
      <c r="J41" s="446">
        <v>1421</v>
      </c>
    </row>
    <row r="42" spans="1:10" ht="13.95" customHeight="1">
      <c r="A42" s="324"/>
      <c r="B42" s="331"/>
      <c r="C42" s="330"/>
      <c r="D42" s="390"/>
      <c r="E42" s="390"/>
      <c r="F42" s="390"/>
      <c r="G42" s="390"/>
      <c r="H42" s="390"/>
      <c r="I42" s="390"/>
      <c r="J42" s="390"/>
    </row>
    <row r="43" spans="1:10" ht="13.95" customHeight="1">
      <c r="A43" s="324"/>
      <c r="B43" s="329">
        <v>62</v>
      </c>
      <c r="C43" s="330" t="s">
        <v>106</v>
      </c>
      <c r="D43" s="390"/>
      <c r="E43" s="390"/>
      <c r="F43" s="390"/>
      <c r="G43" s="390"/>
      <c r="H43" s="390"/>
      <c r="I43" s="390"/>
      <c r="J43" s="390"/>
    </row>
    <row r="44" spans="1:10" ht="13.95" customHeight="1">
      <c r="A44" s="324"/>
      <c r="B44" s="329" t="s">
        <v>36</v>
      </c>
      <c r="C44" s="330" t="s">
        <v>26</v>
      </c>
      <c r="D44" s="442">
        <v>0</v>
      </c>
      <c r="E44" s="442"/>
      <c r="F44" s="441">
        <v>100</v>
      </c>
      <c r="G44" s="442"/>
      <c r="H44" s="441">
        <v>100</v>
      </c>
      <c r="I44" s="442"/>
      <c r="J44" s="443">
        <v>75</v>
      </c>
    </row>
    <row r="45" spans="1:10" ht="13.95" customHeight="1">
      <c r="A45" s="324"/>
      <c r="B45" s="331" t="s">
        <v>37</v>
      </c>
      <c r="C45" s="330" t="s">
        <v>20</v>
      </c>
      <c r="D45" s="442">
        <v>0</v>
      </c>
      <c r="E45" s="442"/>
      <c r="F45" s="441">
        <v>500</v>
      </c>
      <c r="G45" s="442"/>
      <c r="H45" s="441">
        <v>500</v>
      </c>
      <c r="I45" s="442"/>
      <c r="J45" s="443">
        <v>375</v>
      </c>
    </row>
    <row r="46" spans="1:10" ht="13.95" customHeight="1">
      <c r="A46" s="324" t="s">
        <v>3</v>
      </c>
      <c r="B46" s="329">
        <v>62</v>
      </c>
      <c r="C46" s="330" t="s">
        <v>106</v>
      </c>
      <c r="D46" s="445">
        <f t="shared" ref="D46:H46" si="5">SUM(D44:D45)</f>
        <v>0</v>
      </c>
      <c r="E46" s="445"/>
      <c r="F46" s="444">
        <f t="shared" si="5"/>
        <v>600</v>
      </c>
      <c r="G46" s="445"/>
      <c r="H46" s="444">
        <f t="shared" si="5"/>
        <v>600</v>
      </c>
      <c r="I46" s="445"/>
      <c r="J46" s="446">
        <v>450</v>
      </c>
    </row>
    <row r="47" spans="1:10" ht="26.4">
      <c r="A47" s="324" t="s">
        <v>3</v>
      </c>
      <c r="B47" s="327">
        <v>0.109</v>
      </c>
      <c r="C47" s="326" t="s">
        <v>32</v>
      </c>
      <c r="D47" s="441">
        <f t="shared" ref="D47:H47" si="6">D46+D41</f>
        <v>42995</v>
      </c>
      <c r="E47" s="442"/>
      <c r="F47" s="441">
        <f t="shared" si="6"/>
        <v>2495</v>
      </c>
      <c r="G47" s="442"/>
      <c r="H47" s="441">
        <f t="shared" si="6"/>
        <v>2495</v>
      </c>
      <c r="I47" s="442"/>
      <c r="J47" s="443">
        <v>1871</v>
      </c>
    </row>
    <row r="48" spans="1:10" ht="13.95" customHeight="1">
      <c r="A48" s="324" t="s">
        <v>3</v>
      </c>
      <c r="B48" s="325">
        <v>2015</v>
      </c>
      <c r="C48" s="326" t="s">
        <v>11</v>
      </c>
      <c r="D48" s="444">
        <f t="shared" ref="D48:H48" si="7">D47+D35+D27</f>
        <v>62841</v>
      </c>
      <c r="E48" s="445"/>
      <c r="F48" s="444">
        <f t="shared" si="7"/>
        <v>21256</v>
      </c>
      <c r="G48" s="445"/>
      <c r="H48" s="444">
        <f t="shared" si="7"/>
        <v>21256</v>
      </c>
      <c r="I48" s="445"/>
      <c r="J48" s="446">
        <v>21511</v>
      </c>
    </row>
    <row r="49" spans="1:10" ht="13.95" customHeight="1">
      <c r="A49" s="321"/>
      <c r="B49" s="322"/>
      <c r="C49" s="323"/>
      <c r="D49" s="367"/>
      <c r="E49" s="367"/>
      <c r="F49" s="367"/>
      <c r="G49" s="367"/>
      <c r="H49" s="367"/>
      <c r="I49" s="367"/>
      <c r="J49" s="367"/>
    </row>
    <row r="50" spans="1:10" ht="13.95" customHeight="1">
      <c r="A50" s="300" t="s">
        <v>5</v>
      </c>
      <c r="B50" s="325">
        <v>2202</v>
      </c>
      <c r="C50" s="326" t="s">
        <v>13</v>
      </c>
      <c r="D50" s="387"/>
      <c r="E50" s="387"/>
      <c r="F50" s="387"/>
      <c r="G50" s="387"/>
      <c r="H50" s="387"/>
      <c r="I50" s="387"/>
      <c r="J50" s="387"/>
    </row>
    <row r="51" spans="1:10" ht="13.95" customHeight="1">
      <c r="A51" s="300"/>
      <c r="B51" s="334">
        <v>1.198</v>
      </c>
      <c r="C51" s="326" t="s">
        <v>6</v>
      </c>
      <c r="D51" s="391"/>
      <c r="E51" s="367"/>
      <c r="F51" s="391"/>
      <c r="G51" s="391"/>
      <c r="H51" s="391"/>
      <c r="I51" s="391"/>
      <c r="J51" s="392"/>
    </row>
    <row r="52" spans="1:10" ht="13.95" customHeight="1">
      <c r="A52" s="300"/>
      <c r="B52" s="335">
        <v>62</v>
      </c>
      <c r="C52" s="330" t="s">
        <v>18</v>
      </c>
      <c r="D52" s="391"/>
      <c r="E52" s="391"/>
      <c r="F52" s="393"/>
      <c r="G52" s="393"/>
      <c r="H52" s="393"/>
      <c r="I52" s="393"/>
      <c r="J52" s="393"/>
    </row>
    <row r="53" spans="1:10" ht="13.95" customHeight="1">
      <c r="A53" s="300"/>
      <c r="B53" s="335">
        <v>45</v>
      </c>
      <c r="C53" s="330" t="s">
        <v>14</v>
      </c>
      <c r="D53" s="386"/>
      <c r="E53" s="386"/>
      <c r="F53" s="393"/>
      <c r="G53" s="393"/>
      <c r="H53" s="393"/>
      <c r="I53" s="393"/>
      <c r="J53" s="393"/>
    </row>
    <row r="54" spans="1:10" ht="13.95" customHeight="1">
      <c r="A54" s="300"/>
      <c r="B54" s="331" t="s">
        <v>107</v>
      </c>
      <c r="C54" s="330" t="s">
        <v>140</v>
      </c>
      <c r="D54" s="333">
        <v>506846</v>
      </c>
      <c r="E54" s="332"/>
      <c r="F54" s="441">
        <v>525931</v>
      </c>
      <c r="G54" s="442"/>
      <c r="H54" s="441">
        <v>525931</v>
      </c>
      <c r="I54" s="442"/>
      <c r="J54" s="441">
        <v>271634</v>
      </c>
    </row>
    <row r="55" spans="1:10" ht="13.95" customHeight="1">
      <c r="A55" s="300" t="s">
        <v>3</v>
      </c>
      <c r="B55" s="335">
        <v>45</v>
      </c>
      <c r="C55" s="330" t="s">
        <v>14</v>
      </c>
      <c r="D55" s="444">
        <f t="shared" ref="D55:H55" si="8">SUM(D54:D54)</f>
        <v>506846</v>
      </c>
      <c r="E55" s="445"/>
      <c r="F55" s="444">
        <f t="shared" si="8"/>
        <v>525931</v>
      </c>
      <c r="G55" s="445"/>
      <c r="H55" s="444">
        <f t="shared" si="8"/>
        <v>525931</v>
      </c>
      <c r="I55" s="445"/>
      <c r="J55" s="444">
        <v>271634</v>
      </c>
    </row>
    <row r="56" spans="1:10" ht="13.95" customHeight="1">
      <c r="A56" s="300"/>
      <c r="B56" s="335"/>
      <c r="C56" s="330"/>
      <c r="D56" s="391"/>
      <c r="E56" s="391"/>
      <c r="F56" s="367"/>
      <c r="G56" s="367"/>
      <c r="H56" s="367"/>
      <c r="I56" s="367"/>
      <c r="J56" s="367"/>
    </row>
    <row r="57" spans="1:10" ht="13.95" customHeight="1">
      <c r="A57" s="300"/>
      <c r="B57" s="335">
        <v>46</v>
      </c>
      <c r="C57" s="330" t="s">
        <v>15</v>
      </c>
      <c r="D57" s="386"/>
      <c r="E57" s="386"/>
      <c r="F57" s="393"/>
      <c r="G57" s="393"/>
      <c r="H57" s="393"/>
      <c r="I57" s="393"/>
      <c r="J57" s="393"/>
    </row>
    <row r="58" spans="1:10" ht="13.95" customHeight="1">
      <c r="A58" s="300"/>
      <c r="B58" s="331" t="s">
        <v>108</v>
      </c>
      <c r="C58" s="330" t="s">
        <v>140</v>
      </c>
      <c r="D58" s="333">
        <v>324881</v>
      </c>
      <c r="E58" s="332"/>
      <c r="F58" s="441">
        <v>388144</v>
      </c>
      <c r="G58" s="442"/>
      <c r="H58" s="441">
        <v>388144</v>
      </c>
      <c r="I58" s="442"/>
      <c r="J58" s="441">
        <v>199251</v>
      </c>
    </row>
    <row r="59" spans="1:10" ht="13.95" customHeight="1">
      <c r="A59" s="300" t="s">
        <v>3</v>
      </c>
      <c r="B59" s="335">
        <v>46</v>
      </c>
      <c r="C59" s="330" t="s">
        <v>15</v>
      </c>
      <c r="D59" s="444">
        <f t="shared" ref="D59:H59" si="9">SUM(D58:D58)</f>
        <v>324881</v>
      </c>
      <c r="E59" s="445"/>
      <c r="F59" s="444">
        <f t="shared" si="9"/>
        <v>388144</v>
      </c>
      <c r="G59" s="445"/>
      <c r="H59" s="444">
        <f t="shared" si="9"/>
        <v>388144</v>
      </c>
      <c r="I59" s="445"/>
      <c r="J59" s="444">
        <v>199251</v>
      </c>
    </row>
    <row r="60" spans="1:10" ht="13.95" customHeight="1">
      <c r="A60" s="300"/>
      <c r="B60" s="335"/>
      <c r="C60" s="330"/>
      <c r="D60" s="391"/>
      <c r="E60" s="391"/>
      <c r="F60" s="367"/>
      <c r="G60" s="367"/>
      <c r="H60" s="367"/>
      <c r="I60" s="367"/>
      <c r="J60" s="367"/>
    </row>
    <row r="61" spans="1:10" ht="13.95" customHeight="1">
      <c r="A61" s="300"/>
      <c r="B61" s="335">
        <v>47</v>
      </c>
      <c r="C61" s="330" t="s">
        <v>16</v>
      </c>
      <c r="D61" s="394"/>
      <c r="E61" s="394"/>
      <c r="F61" s="368"/>
      <c r="G61" s="368"/>
      <c r="H61" s="368"/>
      <c r="I61" s="368"/>
      <c r="J61" s="368"/>
    </row>
    <row r="62" spans="1:10" ht="13.95" customHeight="1">
      <c r="A62" s="300"/>
      <c r="B62" s="331" t="s">
        <v>109</v>
      </c>
      <c r="C62" s="330" t="s">
        <v>140</v>
      </c>
      <c r="D62" s="333">
        <v>100063</v>
      </c>
      <c r="E62" s="332"/>
      <c r="F62" s="333">
        <v>115610</v>
      </c>
      <c r="G62" s="332"/>
      <c r="H62" s="333">
        <v>115610</v>
      </c>
      <c r="I62" s="332"/>
      <c r="J62" s="333">
        <v>66707</v>
      </c>
    </row>
    <row r="63" spans="1:10" ht="13.95" customHeight="1">
      <c r="A63" s="300" t="s">
        <v>3</v>
      </c>
      <c r="B63" s="335">
        <v>47</v>
      </c>
      <c r="C63" s="330" t="s">
        <v>16</v>
      </c>
      <c r="D63" s="444">
        <f t="shared" ref="D63:H63" si="10">SUM(D62:D62)</f>
        <v>100063</v>
      </c>
      <c r="E63" s="445"/>
      <c r="F63" s="444">
        <f t="shared" si="10"/>
        <v>115610</v>
      </c>
      <c r="G63" s="445"/>
      <c r="H63" s="444">
        <f t="shared" si="10"/>
        <v>115610</v>
      </c>
      <c r="I63" s="445"/>
      <c r="J63" s="444">
        <v>66707</v>
      </c>
    </row>
    <row r="64" spans="1:10" ht="13.95" customHeight="1">
      <c r="A64" s="300"/>
      <c r="B64" s="335"/>
      <c r="C64" s="330"/>
      <c r="D64" s="367"/>
      <c r="E64" s="367"/>
      <c r="F64" s="367"/>
      <c r="G64" s="367"/>
      <c r="H64" s="367"/>
      <c r="I64" s="367"/>
      <c r="J64" s="367"/>
    </row>
    <row r="65" spans="1:10" ht="13.95" customHeight="1">
      <c r="A65" s="300"/>
      <c r="B65" s="335">
        <v>48</v>
      </c>
      <c r="C65" s="330" t="s">
        <v>17</v>
      </c>
      <c r="D65" s="393"/>
      <c r="E65" s="393"/>
      <c r="F65" s="393"/>
      <c r="G65" s="393"/>
      <c r="H65" s="393"/>
      <c r="I65" s="393"/>
      <c r="J65" s="393"/>
    </row>
    <row r="66" spans="1:10" ht="13.95" customHeight="1">
      <c r="A66" s="336"/>
      <c r="B66" s="435" t="s">
        <v>110</v>
      </c>
      <c r="C66" s="337" t="s">
        <v>140</v>
      </c>
      <c r="D66" s="447">
        <v>306267</v>
      </c>
      <c r="E66" s="448"/>
      <c r="F66" s="447">
        <v>367275</v>
      </c>
      <c r="G66" s="448"/>
      <c r="H66" s="447">
        <v>367275</v>
      </c>
      <c r="I66" s="448"/>
      <c r="J66" s="447">
        <v>191775</v>
      </c>
    </row>
    <row r="67" spans="1:10" ht="13.95" customHeight="1">
      <c r="A67" s="300" t="s">
        <v>3</v>
      </c>
      <c r="B67" s="335">
        <v>48</v>
      </c>
      <c r="C67" s="330" t="s">
        <v>17</v>
      </c>
      <c r="D67" s="447">
        <f t="shared" ref="D67:H67" si="11">SUM(D66:D66)</f>
        <v>306267</v>
      </c>
      <c r="E67" s="448"/>
      <c r="F67" s="447">
        <f t="shared" si="11"/>
        <v>367275</v>
      </c>
      <c r="G67" s="448"/>
      <c r="H67" s="447">
        <f t="shared" si="11"/>
        <v>367275</v>
      </c>
      <c r="I67" s="448"/>
      <c r="J67" s="447">
        <v>191775</v>
      </c>
    </row>
    <row r="68" spans="1:10" ht="13.95" customHeight="1">
      <c r="A68" s="300" t="s">
        <v>3</v>
      </c>
      <c r="B68" s="335">
        <v>62</v>
      </c>
      <c r="C68" s="330" t="s">
        <v>18</v>
      </c>
      <c r="D68" s="444">
        <f t="shared" ref="D68:H68" si="12">D67+D63+D59+D55</f>
        <v>1238057</v>
      </c>
      <c r="E68" s="445"/>
      <c r="F68" s="444">
        <f t="shared" si="12"/>
        <v>1396960</v>
      </c>
      <c r="G68" s="445"/>
      <c r="H68" s="444">
        <f t="shared" si="12"/>
        <v>1396960</v>
      </c>
      <c r="I68" s="445"/>
      <c r="J68" s="444">
        <v>729367</v>
      </c>
    </row>
    <row r="69" spans="1:10" ht="13.95" customHeight="1">
      <c r="A69" s="300"/>
      <c r="B69" s="335"/>
      <c r="C69" s="330"/>
      <c r="D69" s="393"/>
      <c r="E69" s="393"/>
      <c r="F69" s="367"/>
      <c r="G69" s="367"/>
      <c r="H69" s="367"/>
      <c r="I69" s="367"/>
      <c r="J69" s="367"/>
    </row>
    <row r="70" spans="1:10" ht="13.95" customHeight="1">
      <c r="A70" s="300"/>
      <c r="B70" s="335">
        <v>63</v>
      </c>
      <c r="C70" s="330" t="s">
        <v>19</v>
      </c>
      <c r="D70" s="393"/>
      <c r="E70" s="393"/>
      <c r="F70" s="393"/>
      <c r="G70" s="393"/>
      <c r="H70" s="393"/>
      <c r="I70" s="393"/>
      <c r="J70" s="393"/>
    </row>
    <row r="71" spans="1:10" ht="13.95" customHeight="1">
      <c r="A71" s="300"/>
      <c r="B71" s="335">
        <v>45</v>
      </c>
      <c r="C71" s="330" t="s">
        <v>14</v>
      </c>
      <c r="D71" s="393"/>
      <c r="E71" s="393"/>
      <c r="F71" s="393"/>
      <c r="G71" s="393"/>
      <c r="H71" s="393"/>
      <c r="I71" s="393"/>
      <c r="J71" s="393"/>
    </row>
    <row r="72" spans="1:10" ht="13.95" customHeight="1">
      <c r="A72" s="300"/>
      <c r="B72" s="331" t="s">
        <v>111</v>
      </c>
      <c r="C72" s="330" t="s">
        <v>140</v>
      </c>
      <c r="D72" s="333">
        <v>645150</v>
      </c>
      <c r="E72" s="332"/>
      <c r="F72" s="441">
        <v>611521</v>
      </c>
      <c r="G72" s="442"/>
      <c r="H72" s="441">
        <v>611521</v>
      </c>
      <c r="I72" s="442"/>
      <c r="J72" s="441">
        <v>334576</v>
      </c>
    </row>
    <row r="73" spans="1:10" ht="13.95" customHeight="1">
      <c r="A73" s="300" t="s">
        <v>3</v>
      </c>
      <c r="B73" s="335">
        <v>45</v>
      </c>
      <c r="C73" s="330" t="s">
        <v>14</v>
      </c>
      <c r="D73" s="444">
        <f t="shared" ref="D73:H73" si="13">SUM(D72:D72)</f>
        <v>645150</v>
      </c>
      <c r="E73" s="445"/>
      <c r="F73" s="444">
        <f t="shared" si="13"/>
        <v>611521</v>
      </c>
      <c r="G73" s="445"/>
      <c r="H73" s="444">
        <f t="shared" si="13"/>
        <v>611521</v>
      </c>
      <c r="I73" s="445"/>
      <c r="J73" s="444">
        <v>334576</v>
      </c>
    </row>
    <row r="74" spans="1:10" ht="13.95" customHeight="1">
      <c r="A74" s="300"/>
      <c r="B74" s="335"/>
      <c r="C74" s="330"/>
      <c r="D74" s="391"/>
      <c r="E74" s="391"/>
      <c r="F74" s="367"/>
      <c r="G74" s="367"/>
      <c r="H74" s="367"/>
      <c r="I74" s="367"/>
      <c r="J74" s="367"/>
    </row>
    <row r="75" spans="1:10" ht="13.95" customHeight="1">
      <c r="A75" s="300"/>
      <c r="B75" s="335">
        <v>46</v>
      </c>
      <c r="C75" s="330" t="s">
        <v>15</v>
      </c>
      <c r="D75" s="394"/>
      <c r="E75" s="394"/>
      <c r="F75" s="368"/>
      <c r="G75" s="368"/>
      <c r="H75" s="368"/>
      <c r="I75" s="368"/>
      <c r="J75" s="368"/>
    </row>
    <row r="76" spans="1:10" ht="13.95" customHeight="1">
      <c r="A76" s="300"/>
      <c r="B76" s="331" t="s">
        <v>112</v>
      </c>
      <c r="C76" s="330" t="s">
        <v>140</v>
      </c>
      <c r="D76" s="447">
        <v>201815</v>
      </c>
      <c r="E76" s="448"/>
      <c r="F76" s="447">
        <v>174737</v>
      </c>
      <c r="G76" s="448"/>
      <c r="H76" s="447">
        <v>174737</v>
      </c>
      <c r="I76" s="448"/>
      <c r="J76" s="447">
        <v>112087</v>
      </c>
    </row>
    <row r="77" spans="1:10" ht="13.95" customHeight="1">
      <c r="A77" s="300" t="s">
        <v>3</v>
      </c>
      <c r="B77" s="335">
        <v>46</v>
      </c>
      <c r="C77" s="330" t="s">
        <v>15</v>
      </c>
      <c r="D77" s="444">
        <f t="shared" ref="D77:H77" si="14">SUM(D76:D76)</f>
        <v>201815</v>
      </c>
      <c r="E77" s="445"/>
      <c r="F77" s="444">
        <f t="shared" si="14"/>
        <v>174737</v>
      </c>
      <c r="G77" s="445"/>
      <c r="H77" s="444">
        <f t="shared" si="14"/>
        <v>174737</v>
      </c>
      <c r="I77" s="445"/>
      <c r="J77" s="444">
        <v>112087</v>
      </c>
    </row>
    <row r="78" spans="1:10" ht="13.95" customHeight="1">
      <c r="A78" s="300"/>
      <c r="B78" s="335"/>
      <c r="C78" s="330"/>
      <c r="D78" s="367"/>
      <c r="E78" s="367"/>
      <c r="F78" s="367"/>
      <c r="G78" s="367"/>
      <c r="H78" s="367"/>
      <c r="I78" s="367"/>
      <c r="J78" s="367"/>
    </row>
    <row r="79" spans="1:10" ht="13.95" customHeight="1">
      <c r="A79" s="300"/>
      <c r="B79" s="335">
        <v>47</v>
      </c>
      <c r="C79" s="330" t="s">
        <v>16</v>
      </c>
      <c r="D79" s="368"/>
      <c r="E79" s="368"/>
      <c r="F79" s="368"/>
      <c r="G79" s="368"/>
      <c r="H79" s="368"/>
      <c r="I79" s="368"/>
      <c r="J79" s="368"/>
    </row>
    <row r="80" spans="1:10" ht="13.95" customHeight="1">
      <c r="A80" s="300"/>
      <c r="B80" s="331" t="s">
        <v>113</v>
      </c>
      <c r="C80" s="330" t="s">
        <v>140</v>
      </c>
      <c r="D80" s="447">
        <v>74073</v>
      </c>
      <c r="E80" s="448"/>
      <c r="F80" s="447">
        <v>67137</v>
      </c>
      <c r="G80" s="448"/>
      <c r="H80" s="447">
        <v>67137</v>
      </c>
      <c r="I80" s="332"/>
      <c r="J80" s="447">
        <v>53903</v>
      </c>
    </row>
    <row r="81" spans="1:10" ht="13.95" customHeight="1">
      <c r="A81" s="300" t="s">
        <v>3</v>
      </c>
      <c r="B81" s="335">
        <v>47</v>
      </c>
      <c r="C81" s="330" t="s">
        <v>16</v>
      </c>
      <c r="D81" s="447">
        <f t="shared" ref="D81:H81" si="15">SUM(D80:D80)</f>
        <v>74073</v>
      </c>
      <c r="E81" s="448"/>
      <c r="F81" s="447">
        <f t="shared" si="15"/>
        <v>67137</v>
      </c>
      <c r="G81" s="448"/>
      <c r="H81" s="447">
        <f t="shared" si="15"/>
        <v>67137</v>
      </c>
      <c r="I81" s="445"/>
      <c r="J81" s="447">
        <v>53903</v>
      </c>
    </row>
    <row r="82" spans="1:10" ht="13.95" customHeight="1">
      <c r="A82" s="300"/>
      <c r="B82" s="335"/>
      <c r="C82" s="330"/>
      <c r="D82" s="367"/>
      <c r="E82" s="367"/>
      <c r="F82" s="367"/>
      <c r="G82" s="367"/>
      <c r="H82" s="367"/>
      <c r="I82" s="367"/>
      <c r="J82" s="367"/>
    </row>
    <row r="83" spans="1:10" ht="13.95" customHeight="1">
      <c r="A83" s="300"/>
      <c r="B83" s="335">
        <v>48</v>
      </c>
      <c r="C83" s="330" t="s">
        <v>17</v>
      </c>
      <c r="D83" s="393"/>
      <c r="E83" s="393"/>
      <c r="F83" s="393"/>
      <c r="G83" s="393"/>
      <c r="H83" s="393"/>
      <c r="I83" s="393"/>
      <c r="J83" s="393"/>
    </row>
    <row r="84" spans="1:10" ht="13.95" customHeight="1">
      <c r="A84" s="300"/>
      <c r="B84" s="331" t="s">
        <v>114</v>
      </c>
      <c r="C84" s="330" t="s">
        <v>140</v>
      </c>
      <c r="D84" s="333">
        <v>425595</v>
      </c>
      <c r="E84" s="332"/>
      <c r="F84" s="333">
        <v>325175</v>
      </c>
      <c r="G84" s="332"/>
      <c r="H84" s="333">
        <v>325175</v>
      </c>
      <c r="I84" s="332"/>
      <c r="J84" s="333">
        <v>192150</v>
      </c>
    </row>
    <row r="85" spans="1:10" ht="13.95" customHeight="1">
      <c r="A85" s="300" t="s">
        <v>3</v>
      </c>
      <c r="B85" s="335">
        <v>48</v>
      </c>
      <c r="C85" s="330" t="s">
        <v>17</v>
      </c>
      <c r="D85" s="444">
        <f t="shared" ref="D85:H85" si="16">SUM(D84:D84)</f>
        <v>425595</v>
      </c>
      <c r="E85" s="445"/>
      <c r="F85" s="444">
        <f t="shared" si="16"/>
        <v>325175</v>
      </c>
      <c r="G85" s="445"/>
      <c r="H85" s="444">
        <f t="shared" si="16"/>
        <v>325175</v>
      </c>
      <c r="I85" s="445"/>
      <c r="J85" s="444">
        <v>192150</v>
      </c>
    </row>
    <row r="86" spans="1:10" ht="13.95" customHeight="1">
      <c r="A86" s="300" t="s">
        <v>3</v>
      </c>
      <c r="B86" s="335">
        <v>63</v>
      </c>
      <c r="C86" s="330" t="s">
        <v>19</v>
      </c>
      <c r="D86" s="447">
        <f t="shared" ref="D86:H86" si="17">D85+D81+D77+D73</f>
        <v>1346633</v>
      </c>
      <c r="E86" s="448"/>
      <c r="F86" s="447">
        <f t="shared" si="17"/>
        <v>1178570</v>
      </c>
      <c r="G86" s="448"/>
      <c r="H86" s="447">
        <f t="shared" si="17"/>
        <v>1178570</v>
      </c>
      <c r="I86" s="448"/>
      <c r="J86" s="447">
        <v>692716</v>
      </c>
    </row>
    <row r="87" spans="1:10" ht="13.95" customHeight="1">
      <c r="A87" s="300" t="s">
        <v>3</v>
      </c>
      <c r="B87" s="334">
        <v>1.198</v>
      </c>
      <c r="C87" s="326" t="s">
        <v>6</v>
      </c>
      <c r="D87" s="444">
        <f t="shared" ref="D87:H87" si="18">D68+D86</f>
        <v>2584690</v>
      </c>
      <c r="E87" s="445"/>
      <c r="F87" s="444">
        <f t="shared" si="18"/>
        <v>2575530</v>
      </c>
      <c r="G87" s="445"/>
      <c r="H87" s="444">
        <f t="shared" si="18"/>
        <v>2575530</v>
      </c>
      <c r="I87" s="445"/>
      <c r="J87" s="444">
        <v>1422083</v>
      </c>
    </row>
    <row r="88" spans="1:10" ht="13.95" customHeight="1">
      <c r="A88" s="300" t="s">
        <v>3</v>
      </c>
      <c r="B88" s="325">
        <v>2202</v>
      </c>
      <c r="C88" s="326" t="s">
        <v>13</v>
      </c>
      <c r="D88" s="450">
        <f t="shared" ref="D88:H88" si="19">D87</f>
        <v>2584690</v>
      </c>
      <c r="E88" s="451"/>
      <c r="F88" s="450">
        <f t="shared" si="19"/>
        <v>2575530</v>
      </c>
      <c r="G88" s="451"/>
      <c r="H88" s="450">
        <f t="shared" si="19"/>
        <v>2575530</v>
      </c>
      <c r="I88" s="451"/>
      <c r="J88" s="450">
        <v>1422083</v>
      </c>
    </row>
    <row r="89" spans="1:10">
      <c r="A89" s="321"/>
      <c r="B89" s="322"/>
      <c r="C89" s="323"/>
      <c r="D89" s="367"/>
      <c r="E89" s="367"/>
      <c r="F89" s="367"/>
      <c r="G89" s="367"/>
      <c r="H89" s="367"/>
      <c r="I89" s="367"/>
      <c r="J89" s="367"/>
    </row>
    <row r="90" spans="1:10" ht="14.7" customHeight="1">
      <c r="A90" s="324" t="s">
        <v>5</v>
      </c>
      <c r="B90" s="325">
        <v>2515</v>
      </c>
      <c r="C90" s="326" t="s">
        <v>0</v>
      </c>
      <c r="D90" s="393"/>
      <c r="E90" s="393"/>
      <c r="F90" s="393"/>
      <c r="G90" s="393"/>
      <c r="H90" s="393"/>
      <c r="I90" s="393"/>
      <c r="J90" s="393"/>
    </row>
    <row r="91" spans="1:10" ht="14.7" customHeight="1">
      <c r="A91" s="324"/>
      <c r="B91" s="327">
        <v>0.10100000000000001</v>
      </c>
      <c r="C91" s="326" t="s">
        <v>39</v>
      </c>
      <c r="D91" s="393"/>
      <c r="E91" s="393"/>
      <c r="F91" s="393"/>
      <c r="G91" s="393"/>
      <c r="H91" s="393"/>
      <c r="I91" s="393"/>
      <c r="J91" s="393"/>
    </row>
    <row r="92" spans="1:10" ht="14.7" customHeight="1">
      <c r="A92" s="324"/>
      <c r="B92" s="338">
        <v>0.44</v>
      </c>
      <c r="C92" s="330" t="s">
        <v>38</v>
      </c>
      <c r="D92" s="393"/>
      <c r="E92" s="393"/>
      <c r="F92" s="393"/>
      <c r="G92" s="393"/>
      <c r="H92" s="393"/>
      <c r="I92" s="393"/>
      <c r="J92" s="393"/>
    </row>
    <row r="93" spans="1:10" ht="14.7" customHeight="1">
      <c r="A93" s="324"/>
      <c r="B93" s="331" t="s">
        <v>40</v>
      </c>
      <c r="C93" s="330" t="s">
        <v>24</v>
      </c>
      <c r="D93" s="339">
        <v>31719</v>
      </c>
      <c r="E93" s="332"/>
      <c r="F93" s="339">
        <v>36297</v>
      </c>
      <c r="G93" s="332"/>
      <c r="H93" s="339">
        <v>36297</v>
      </c>
      <c r="I93" s="332"/>
      <c r="J93" s="281">
        <v>90815</v>
      </c>
    </row>
    <row r="94" spans="1:10" ht="14.7" customHeight="1">
      <c r="A94" s="324"/>
      <c r="B94" s="331" t="s">
        <v>323</v>
      </c>
      <c r="C94" s="330" t="s">
        <v>322</v>
      </c>
      <c r="D94" s="452">
        <v>0</v>
      </c>
      <c r="E94" s="332"/>
      <c r="F94" s="452">
        <v>0</v>
      </c>
      <c r="G94" s="332"/>
      <c r="H94" s="452">
        <v>0</v>
      </c>
      <c r="I94" s="332"/>
      <c r="J94" s="332">
        <v>0</v>
      </c>
    </row>
    <row r="95" spans="1:10" ht="14.7" customHeight="1">
      <c r="A95" s="324"/>
      <c r="B95" s="433" t="s">
        <v>41</v>
      </c>
      <c r="C95" s="330" t="s">
        <v>26</v>
      </c>
      <c r="D95" s="557">
        <v>389</v>
      </c>
      <c r="E95" s="442"/>
      <c r="F95" s="557">
        <v>400</v>
      </c>
      <c r="G95" s="442"/>
      <c r="H95" s="557">
        <v>400</v>
      </c>
      <c r="I95" s="442"/>
      <c r="J95" s="443">
        <v>300</v>
      </c>
    </row>
    <row r="96" spans="1:10" ht="14.7" customHeight="1">
      <c r="A96" s="324"/>
      <c r="B96" s="433" t="s">
        <v>42</v>
      </c>
      <c r="C96" s="330" t="s">
        <v>28</v>
      </c>
      <c r="D96" s="557">
        <v>3606</v>
      </c>
      <c r="E96" s="442"/>
      <c r="F96" s="557">
        <v>4200</v>
      </c>
      <c r="G96" s="442"/>
      <c r="H96" s="557">
        <v>4200</v>
      </c>
      <c r="I96" s="442"/>
      <c r="J96" s="443">
        <v>3150</v>
      </c>
    </row>
    <row r="97" spans="1:10" ht="13.95" customHeight="1">
      <c r="A97" s="340"/>
      <c r="B97" s="438" t="s">
        <v>306</v>
      </c>
      <c r="C97" s="337" t="s">
        <v>307</v>
      </c>
      <c r="D97" s="453">
        <v>0</v>
      </c>
      <c r="E97" s="448"/>
      <c r="F97" s="454">
        <v>424819</v>
      </c>
      <c r="G97" s="448"/>
      <c r="H97" s="454">
        <v>324819</v>
      </c>
      <c r="I97" s="448"/>
      <c r="J97" s="449">
        <v>376240</v>
      </c>
    </row>
    <row r="98" spans="1:10" ht="14.7" customHeight="1">
      <c r="A98" s="324"/>
      <c r="B98" s="433" t="s">
        <v>43</v>
      </c>
      <c r="C98" s="330" t="s">
        <v>20</v>
      </c>
      <c r="D98" s="339">
        <v>2930</v>
      </c>
      <c r="E98" s="332"/>
      <c r="F98" s="339">
        <v>3000</v>
      </c>
      <c r="G98" s="332"/>
      <c r="H98" s="339">
        <v>3000</v>
      </c>
      <c r="I98" s="332"/>
      <c r="J98" s="333">
        <v>2250</v>
      </c>
    </row>
    <row r="99" spans="1:10" ht="15" customHeight="1">
      <c r="A99" s="324" t="s">
        <v>3</v>
      </c>
      <c r="B99" s="338">
        <v>0.44</v>
      </c>
      <c r="C99" s="330" t="s">
        <v>38</v>
      </c>
      <c r="D99" s="450">
        <f t="shared" ref="D99:H99" si="20">SUM(D93:D98)</f>
        <v>38644</v>
      </c>
      <c r="E99" s="451"/>
      <c r="F99" s="450">
        <f t="shared" si="20"/>
        <v>468716</v>
      </c>
      <c r="G99" s="451"/>
      <c r="H99" s="450">
        <f t="shared" si="20"/>
        <v>368716</v>
      </c>
      <c r="I99" s="451"/>
      <c r="J99" s="450">
        <v>472755</v>
      </c>
    </row>
    <row r="100" spans="1:10" ht="10.050000000000001" customHeight="1">
      <c r="A100" s="324"/>
      <c r="B100" s="338"/>
      <c r="C100" s="330"/>
      <c r="D100" s="368"/>
      <c r="E100" s="368"/>
      <c r="F100" s="368"/>
      <c r="G100" s="368"/>
      <c r="H100" s="368"/>
      <c r="I100" s="368"/>
      <c r="J100" s="368"/>
    </row>
    <row r="101" spans="1:10" ht="13.35" customHeight="1">
      <c r="A101" s="324"/>
      <c r="B101" s="338">
        <v>0.45</v>
      </c>
      <c r="C101" s="330" t="s">
        <v>14</v>
      </c>
      <c r="D101" s="368"/>
      <c r="E101" s="367"/>
      <c r="F101" s="368"/>
      <c r="G101" s="367"/>
      <c r="H101" s="368"/>
      <c r="I101" s="367"/>
      <c r="J101" s="367"/>
    </row>
    <row r="102" spans="1:10" ht="13.35" customHeight="1">
      <c r="A102" s="324"/>
      <c r="B102" s="331" t="s">
        <v>44</v>
      </c>
      <c r="C102" s="330" t="s">
        <v>24</v>
      </c>
      <c r="D102" s="333">
        <v>1701</v>
      </c>
      <c r="E102" s="332"/>
      <c r="F102" s="339">
        <v>2184</v>
      </c>
      <c r="G102" s="332"/>
      <c r="H102" s="339">
        <v>2184</v>
      </c>
      <c r="I102" s="332"/>
      <c r="J102" s="333">
        <v>27135</v>
      </c>
    </row>
    <row r="103" spans="1:10" ht="13.35" customHeight="1">
      <c r="A103" s="324" t="s">
        <v>3</v>
      </c>
      <c r="B103" s="338">
        <v>0.45</v>
      </c>
      <c r="C103" s="330" t="s">
        <v>14</v>
      </c>
      <c r="D103" s="450">
        <f t="shared" ref="D103:H103" si="21">SUM(D102:D102)</f>
        <v>1701</v>
      </c>
      <c r="E103" s="451"/>
      <c r="F103" s="450">
        <f t="shared" si="21"/>
        <v>2184</v>
      </c>
      <c r="G103" s="451"/>
      <c r="H103" s="450">
        <f t="shared" si="21"/>
        <v>2184</v>
      </c>
      <c r="I103" s="451"/>
      <c r="J103" s="450">
        <v>27135</v>
      </c>
    </row>
    <row r="104" spans="1:10" ht="10.050000000000001" customHeight="1">
      <c r="A104" s="324"/>
      <c r="B104" s="338"/>
      <c r="C104" s="330"/>
      <c r="D104" s="368"/>
      <c r="E104" s="368"/>
      <c r="F104" s="368"/>
      <c r="G104" s="368"/>
      <c r="H104" s="368"/>
      <c r="I104" s="368"/>
      <c r="J104" s="368"/>
    </row>
    <row r="105" spans="1:10" ht="14.7" customHeight="1">
      <c r="A105" s="324"/>
      <c r="B105" s="338">
        <v>0.46</v>
      </c>
      <c r="C105" s="330" t="s">
        <v>15</v>
      </c>
      <c r="D105" s="393"/>
      <c r="E105" s="390"/>
      <c r="F105" s="393"/>
      <c r="G105" s="390"/>
      <c r="H105" s="393"/>
      <c r="I105" s="390"/>
      <c r="J105" s="390"/>
    </row>
    <row r="106" spans="1:10" ht="14.7" customHeight="1">
      <c r="A106" s="324"/>
      <c r="B106" s="331" t="s">
        <v>45</v>
      </c>
      <c r="C106" s="330" t="s">
        <v>24</v>
      </c>
      <c r="D106" s="333">
        <v>6152</v>
      </c>
      <c r="E106" s="332"/>
      <c r="F106" s="339">
        <v>2664</v>
      </c>
      <c r="G106" s="332"/>
      <c r="H106" s="339">
        <v>2664</v>
      </c>
      <c r="I106" s="332"/>
      <c r="J106" s="281">
        <v>24689</v>
      </c>
    </row>
    <row r="107" spans="1:10" ht="14.7" customHeight="1">
      <c r="A107" s="324"/>
      <c r="B107" s="433" t="s">
        <v>46</v>
      </c>
      <c r="C107" s="330" t="s">
        <v>26</v>
      </c>
      <c r="D107" s="333">
        <v>40</v>
      </c>
      <c r="E107" s="332"/>
      <c r="F107" s="339">
        <v>40</v>
      </c>
      <c r="G107" s="332"/>
      <c r="H107" s="339">
        <v>40</v>
      </c>
      <c r="I107" s="332"/>
      <c r="J107" s="281">
        <v>30</v>
      </c>
    </row>
    <row r="108" spans="1:10" ht="14.7" customHeight="1">
      <c r="A108" s="324"/>
      <c r="B108" s="433" t="s">
        <v>47</v>
      </c>
      <c r="C108" s="330" t="s">
        <v>28</v>
      </c>
      <c r="D108" s="333">
        <v>55</v>
      </c>
      <c r="E108" s="332"/>
      <c r="F108" s="339">
        <v>55</v>
      </c>
      <c r="G108" s="332"/>
      <c r="H108" s="339">
        <v>55</v>
      </c>
      <c r="I108" s="332"/>
      <c r="J108" s="281">
        <v>41</v>
      </c>
    </row>
    <row r="109" spans="1:10" ht="14.7" customHeight="1">
      <c r="A109" s="324" t="s">
        <v>3</v>
      </c>
      <c r="B109" s="338">
        <v>0.46</v>
      </c>
      <c r="C109" s="330" t="s">
        <v>15</v>
      </c>
      <c r="D109" s="450">
        <f t="shared" ref="D109:H109" si="22">SUM(D106:D108)</f>
        <v>6247</v>
      </c>
      <c r="E109" s="451"/>
      <c r="F109" s="450">
        <f t="shared" si="22"/>
        <v>2759</v>
      </c>
      <c r="G109" s="451"/>
      <c r="H109" s="450">
        <f t="shared" si="22"/>
        <v>2759</v>
      </c>
      <c r="I109" s="451"/>
      <c r="J109" s="455">
        <v>24760</v>
      </c>
    </row>
    <row r="110" spans="1:10" ht="10.050000000000001" customHeight="1">
      <c r="A110" s="324"/>
      <c r="B110" s="338"/>
      <c r="C110" s="330"/>
      <c r="D110" s="368"/>
      <c r="E110" s="368"/>
      <c r="F110" s="368"/>
      <c r="G110" s="368"/>
      <c r="H110" s="368"/>
      <c r="I110" s="368"/>
      <c r="J110" s="368"/>
    </row>
    <row r="111" spans="1:10" ht="14.7" customHeight="1">
      <c r="A111" s="324"/>
      <c r="B111" s="338">
        <v>0.47</v>
      </c>
      <c r="C111" s="330" t="s">
        <v>16</v>
      </c>
      <c r="D111" s="368"/>
      <c r="E111" s="367"/>
      <c r="F111" s="368"/>
      <c r="G111" s="367"/>
      <c r="H111" s="368"/>
      <c r="I111" s="367"/>
      <c r="J111" s="367"/>
    </row>
    <row r="112" spans="1:10" ht="14.7" customHeight="1">
      <c r="A112" s="324"/>
      <c r="B112" s="331" t="s">
        <v>48</v>
      </c>
      <c r="C112" s="330" t="s">
        <v>24</v>
      </c>
      <c r="D112" s="333">
        <v>1254</v>
      </c>
      <c r="E112" s="332"/>
      <c r="F112" s="339">
        <v>1528</v>
      </c>
      <c r="G112" s="332"/>
      <c r="H112" s="339">
        <v>1528</v>
      </c>
      <c r="I112" s="332"/>
      <c r="J112" s="281">
        <v>1896</v>
      </c>
    </row>
    <row r="113" spans="1:10" ht="14.7" customHeight="1">
      <c r="A113" s="324"/>
      <c r="B113" s="433" t="s">
        <v>49</v>
      </c>
      <c r="C113" s="330" t="s">
        <v>26</v>
      </c>
      <c r="D113" s="441">
        <v>40</v>
      </c>
      <c r="E113" s="442"/>
      <c r="F113" s="557">
        <v>40</v>
      </c>
      <c r="G113" s="442"/>
      <c r="H113" s="557">
        <v>40</v>
      </c>
      <c r="I113" s="442"/>
      <c r="J113" s="443">
        <v>30</v>
      </c>
    </row>
    <row r="114" spans="1:10" ht="14.7" customHeight="1">
      <c r="A114" s="324"/>
      <c r="B114" s="433" t="s">
        <v>50</v>
      </c>
      <c r="C114" s="330" t="s">
        <v>28</v>
      </c>
      <c r="D114" s="441">
        <v>54</v>
      </c>
      <c r="E114" s="442"/>
      <c r="F114" s="557">
        <v>55</v>
      </c>
      <c r="G114" s="442"/>
      <c r="H114" s="557">
        <v>55</v>
      </c>
      <c r="I114" s="442"/>
      <c r="J114" s="443">
        <v>41</v>
      </c>
    </row>
    <row r="115" spans="1:10" ht="14.7" customHeight="1">
      <c r="A115" s="324" t="s">
        <v>3</v>
      </c>
      <c r="B115" s="338">
        <v>0.47</v>
      </c>
      <c r="C115" s="330" t="s">
        <v>16</v>
      </c>
      <c r="D115" s="450">
        <f t="shared" ref="D115:H115" si="23">SUM(D112:D114)</f>
        <v>1348</v>
      </c>
      <c r="E115" s="451"/>
      <c r="F115" s="450">
        <f t="shared" si="23"/>
        <v>1623</v>
      </c>
      <c r="G115" s="451"/>
      <c r="H115" s="450">
        <f t="shared" si="23"/>
        <v>1623</v>
      </c>
      <c r="I115" s="451"/>
      <c r="J115" s="455">
        <v>1967</v>
      </c>
    </row>
    <row r="116" spans="1:10" ht="10.050000000000001" customHeight="1">
      <c r="A116" s="324"/>
      <c r="B116" s="338"/>
      <c r="C116" s="330"/>
      <c r="D116" s="368"/>
      <c r="E116" s="368"/>
      <c r="F116" s="368"/>
      <c r="G116" s="368"/>
      <c r="H116" s="368"/>
      <c r="I116" s="368"/>
      <c r="J116" s="368"/>
    </row>
    <row r="117" spans="1:10" ht="14.7" customHeight="1">
      <c r="A117" s="324"/>
      <c r="B117" s="338">
        <v>0.48</v>
      </c>
      <c r="C117" s="330" t="s">
        <v>17</v>
      </c>
      <c r="D117" s="368"/>
      <c r="E117" s="367"/>
      <c r="F117" s="368"/>
      <c r="G117" s="367"/>
      <c r="H117" s="368"/>
      <c r="I117" s="367"/>
      <c r="J117" s="367"/>
    </row>
    <row r="118" spans="1:10" ht="14.7" customHeight="1">
      <c r="A118" s="324"/>
      <c r="B118" s="331" t="s">
        <v>51</v>
      </c>
      <c r="C118" s="330" t="s">
        <v>24</v>
      </c>
      <c r="D118" s="333">
        <v>9697</v>
      </c>
      <c r="E118" s="332"/>
      <c r="F118" s="339">
        <v>12583</v>
      </c>
      <c r="G118" s="332"/>
      <c r="H118" s="339">
        <v>12583</v>
      </c>
      <c r="I118" s="332"/>
      <c r="J118" s="281">
        <v>15628</v>
      </c>
    </row>
    <row r="119" spans="1:10" ht="14.7" customHeight="1">
      <c r="A119" s="324"/>
      <c r="B119" s="331" t="s">
        <v>324</v>
      </c>
      <c r="C119" s="330" t="s">
        <v>322</v>
      </c>
      <c r="D119" s="332">
        <v>0</v>
      </c>
      <c r="E119" s="332"/>
      <c r="F119" s="452">
        <v>0</v>
      </c>
      <c r="G119" s="332"/>
      <c r="H119" s="452">
        <v>0</v>
      </c>
      <c r="I119" s="332"/>
      <c r="J119" s="281">
        <v>4995</v>
      </c>
    </row>
    <row r="120" spans="1:10" ht="14.7" customHeight="1">
      <c r="A120" s="324"/>
      <c r="B120" s="433" t="s">
        <v>52</v>
      </c>
      <c r="C120" s="330" t="s">
        <v>26</v>
      </c>
      <c r="D120" s="333">
        <v>40</v>
      </c>
      <c r="E120" s="332"/>
      <c r="F120" s="339">
        <v>40</v>
      </c>
      <c r="G120" s="332"/>
      <c r="H120" s="339">
        <v>40</v>
      </c>
      <c r="I120" s="332"/>
      <c r="J120" s="281">
        <v>30</v>
      </c>
    </row>
    <row r="121" spans="1:10" ht="14.7" customHeight="1">
      <c r="A121" s="324"/>
      <c r="B121" s="433" t="s">
        <v>53</v>
      </c>
      <c r="C121" s="330" t="s">
        <v>28</v>
      </c>
      <c r="D121" s="447">
        <v>81</v>
      </c>
      <c r="E121" s="448"/>
      <c r="F121" s="454">
        <v>81</v>
      </c>
      <c r="G121" s="448"/>
      <c r="H121" s="454">
        <v>81</v>
      </c>
      <c r="I121" s="448"/>
      <c r="J121" s="449">
        <v>61</v>
      </c>
    </row>
    <row r="122" spans="1:10" ht="14.7" customHeight="1">
      <c r="A122" s="324" t="s">
        <v>3</v>
      </c>
      <c r="B122" s="338">
        <v>0.48</v>
      </c>
      <c r="C122" s="330" t="s">
        <v>17</v>
      </c>
      <c r="D122" s="454">
        <f t="shared" ref="D122:H122" si="24">SUM(D118:D121)</f>
        <v>9818</v>
      </c>
      <c r="E122" s="453"/>
      <c r="F122" s="454">
        <f t="shared" si="24"/>
        <v>12704</v>
      </c>
      <c r="G122" s="453"/>
      <c r="H122" s="454">
        <f t="shared" si="24"/>
        <v>12704</v>
      </c>
      <c r="I122" s="453"/>
      <c r="J122" s="456">
        <v>20714</v>
      </c>
    </row>
    <row r="123" spans="1:10" ht="10.050000000000001" customHeight="1">
      <c r="A123" s="324"/>
      <c r="B123" s="338"/>
      <c r="C123" s="330"/>
      <c r="D123" s="395"/>
      <c r="E123" s="395"/>
      <c r="F123" s="395"/>
      <c r="G123" s="368"/>
      <c r="H123" s="395"/>
      <c r="I123" s="395"/>
      <c r="J123" s="368"/>
    </row>
    <row r="124" spans="1:10" ht="14.7" customHeight="1">
      <c r="A124" s="324"/>
      <c r="B124" s="338">
        <v>0.69</v>
      </c>
      <c r="C124" s="330" t="s">
        <v>131</v>
      </c>
      <c r="D124" s="395"/>
      <c r="E124" s="395"/>
      <c r="F124" s="395"/>
      <c r="G124" s="368"/>
      <c r="H124" s="395"/>
      <c r="I124" s="395"/>
      <c r="J124" s="368"/>
    </row>
    <row r="125" spans="1:10" ht="14.7" customHeight="1">
      <c r="A125" s="324"/>
      <c r="B125" s="331" t="s">
        <v>117</v>
      </c>
      <c r="C125" s="330" t="s">
        <v>24</v>
      </c>
      <c r="D125" s="339">
        <v>5820</v>
      </c>
      <c r="E125" s="452"/>
      <c r="F125" s="339">
        <v>7433</v>
      </c>
      <c r="G125" s="452"/>
      <c r="H125" s="339">
        <v>7433</v>
      </c>
      <c r="I125" s="452"/>
      <c r="J125" s="282">
        <v>9716</v>
      </c>
    </row>
    <row r="126" spans="1:10" ht="14.7" customHeight="1">
      <c r="A126" s="324"/>
      <c r="B126" s="331" t="s">
        <v>325</v>
      </c>
      <c r="C126" s="330" t="s">
        <v>322</v>
      </c>
      <c r="D126" s="452">
        <v>0</v>
      </c>
      <c r="E126" s="452"/>
      <c r="F126" s="452">
        <v>0</v>
      </c>
      <c r="G126" s="452"/>
      <c r="H126" s="452">
        <v>0</v>
      </c>
      <c r="I126" s="452"/>
      <c r="J126" s="282">
        <v>451</v>
      </c>
    </row>
    <row r="127" spans="1:10" ht="14.7" customHeight="1">
      <c r="A127" s="324"/>
      <c r="B127" s="433" t="s">
        <v>118</v>
      </c>
      <c r="C127" s="330" t="s">
        <v>26</v>
      </c>
      <c r="D127" s="339">
        <v>50</v>
      </c>
      <c r="E127" s="452"/>
      <c r="F127" s="339">
        <v>50</v>
      </c>
      <c r="G127" s="452"/>
      <c r="H127" s="339">
        <v>50</v>
      </c>
      <c r="I127" s="452"/>
      <c r="J127" s="339">
        <v>38</v>
      </c>
    </row>
    <row r="128" spans="1:10" ht="14.7" customHeight="1">
      <c r="A128" s="324"/>
      <c r="B128" s="433" t="s">
        <v>119</v>
      </c>
      <c r="C128" s="330" t="s">
        <v>28</v>
      </c>
      <c r="D128" s="339">
        <v>750</v>
      </c>
      <c r="E128" s="452"/>
      <c r="F128" s="339">
        <v>451</v>
      </c>
      <c r="G128" s="452"/>
      <c r="H128" s="339">
        <v>650</v>
      </c>
      <c r="I128" s="452"/>
      <c r="J128" s="339">
        <v>143</v>
      </c>
    </row>
    <row r="129" spans="1:10" ht="14.7" customHeight="1">
      <c r="A129" s="340" t="s">
        <v>3</v>
      </c>
      <c r="B129" s="439">
        <v>0.69</v>
      </c>
      <c r="C129" s="337" t="s">
        <v>131</v>
      </c>
      <c r="D129" s="450">
        <f t="shared" ref="D129:H129" si="25">SUM(D125:D128)</f>
        <v>6620</v>
      </c>
      <c r="E129" s="451"/>
      <c r="F129" s="450">
        <f t="shared" si="25"/>
        <v>7934</v>
      </c>
      <c r="G129" s="451"/>
      <c r="H129" s="450">
        <f t="shared" si="25"/>
        <v>8133</v>
      </c>
      <c r="I129" s="451"/>
      <c r="J129" s="450">
        <v>10348</v>
      </c>
    </row>
    <row r="130" spans="1:10" ht="10.199999999999999" customHeight="1">
      <c r="A130" s="324"/>
      <c r="B130" s="338"/>
      <c r="C130" s="330"/>
      <c r="D130" s="395"/>
      <c r="E130" s="395"/>
      <c r="F130" s="395"/>
      <c r="G130" s="368"/>
      <c r="H130" s="395"/>
      <c r="I130" s="395"/>
      <c r="J130" s="368"/>
    </row>
    <row r="131" spans="1:10" ht="14.7" customHeight="1">
      <c r="A131" s="324"/>
      <c r="B131" s="338">
        <v>0.7</v>
      </c>
      <c r="C131" s="330" t="s">
        <v>130</v>
      </c>
      <c r="D131" s="395"/>
      <c r="E131" s="395"/>
      <c r="F131" s="395"/>
      <c r="G131" s="368"/>
      <c r="H131" s="395"/>
      <c r="I131" s="395"/>
      <c r="J131" s="368"/>
    </row>
    <row r="132" spans="1:10" ht="14.7" customHeight="1">
      <c r="A132" s="324"/>
      <c r="B132" s="331" t="s">
        <v>120</v>
      </c>
      <c r="C132" s="330" t="s">
        <v>24</v>
      </c>
      <c r="D132" s="339">
        <v>4660</v>
      </c>
      <c r="E132" s="452"/>
      <c r="F132" s="339">
        <v>6163</v>
      </c>
      <c r="G132" s="452"/>
      <c r="H132" s="339">
        <v>6163</v>
      </c>
      <c r="I132" s="452"/>
      <c r="J132" s="282">
        <v>10238</v>
      </c>
    </row>
    <row r="133" spans="1:10" ht="14.7" customHeight="1">
      <c r="A133" s="324"/>
      <c r="B133" s="331" t="s">
        <v>326</v>
      </c>
      <c r="C133" s="330" t="s">
        <v>322</v>
      </c>
      <c r="D133" s="452">
        <v>0</v>
      </c>
      <c r="E133" s="452"/>
      <c r="F133" s="452">
        <v>0</v>
      </c>
      <c r="G133" s="452"/>
      <c r="H133" s="452">
        <v>0</v>
      </c>
      <c r="I133" s="452"/>
      <c r="J133" s="282">
        <v>239</v>
      </c>
    </row>
    <row r="134" spans="1:10" ht="14.7" customHeight="1">
      <c r="A134" s="324"/>
      <c r="B134" s="433" t="s">
        <v>121</v>
      </c>
      <c r="C134" s="330" t="s">
        <v>26</v>
      </c>
      <c r="D134" s="339">
        <v>50</v>
      </c>
      <c r="E134" s="452"/>
      <c r="F134" s="339">
        <v>50</v>
      </c>
      <c r="G134" s="452"/>
      <c r="H134" s="339">
        <v>50</v>
      </c>
      <c r="I134" s="452"/>
      <c r="J134" s="339">
        <v>38</v>
      </c>
    </row>
    <row r="135" spans="1:10" ht="14.7" customHeight="1">
      <c r="A135" s="324"/>
      <c r="B135" s="433" t="s">
        <v>122</v>
      </c>
      <c r="C135" s="330" t="s">
        <v>28</v>
      </c>
      <c r="D135" s="339">
        <v>740</v>
      </c>
      <c r="E135" s="452"/>
      <c r="F135" s="339">
        <v>740</v>
      </c>
      <c r="G135" s="452"/>
      <c r="H135" s="339">
        <v>740</v>
      </c>
      <c r="I135" s="452"/>
      <c r="J135" s="339">
        <v>555</v>
      </c>
    </row>
    <row r="136" spans="1:10" ht="14.7" customHeight="1">
      <c r="A136" s="324" t="s">
        <v>3</v>
      </c>
      <c r="B136" s="338">
        <v>0.7</v>
      </c>
      <c r="C136" s="330" t="s">
        <v>130</v>
      </c>
      <c r="D136" s="450">
        <f t="shared" ref="D136:H136" si="26">SUM(D132:D135)</f>
        <v>5450</v>
      </c>
      <c r="E136" s="451"/>
      <c r="F136" s="450">
        <f t="shared" si="26"/>
        <v>6953</v>
      </c>
      <c r="G136" s="451"/>
      <c r="H136" s="450">
        <f t="shared" si="26"/>
        <v>6953</v>
      </c>
      <c r="I136" s="451"/>
      <c r="J136" s="450">
        <v>11070</v>
      </c>
    </row>
    <row r="137" spans="1:10" ht="10.199999999999999" customHeight="1">
      <c r="A137" s="324"/>
      <c r="B137" s="338"/>
      <c r="C137" s="330"/>
      <c r="D137" s="395"/>
      <c r="E137" s="395"/>
      <c r="F137" s="395"/>
      <c r="G137" s="368"/>
      <c r="H137" s="395"/>
      <c r="I137" s="395"/>
      <c r="J137" s="368"/>
    </row>
    <row r="138" spans="1:10" ht="14.7" customHeight="1">
      <c r="A138" s="324"/>
      <c r="B138" s="338">
        <v>0.71</v>
      </c>
      <c r="C138" s="330" t="s">
        <v>129</v>
      </c>
      <c r="D138" s="395"/>
      <c r="E138" s="395"/>
      <c r="F138" s="395"/>
      <c r="G138" s="368"/>
      <c r="H138" s="395"/>
      <c r="I138" s="395"/>
      <c r="J138" s="368"/>
    </row>
    <row r="139" spans="1:10" ht="14.7" customHeight="1">
      <c r="A139" s="324"/>
      <c r="B139" s="331" t="s">
        <v>123</v>
      </c>
      <c r="C139" s="330" t="s">
        <v>24</v>
      </c>
      <c r="D139" s="339">
        <v>5905</v>
      </c>
      <c r="E139" s="452"/>
      <c r="F139" s="339">
        <v>6120</v>
      </c>
      <c r="G139" s="452"/>
      <c r="H139" s="339">
        <v>6120</v>
      </c>
      <c r="I139" s="452"/>
      <c r="J139" s="282">
        <v>10955</v>
      </c>
    </row>
    <row r="140" spans="1:10" ht="14.7" customHeight="1">
      <c r="A140" s="324"/>
      <c r="B140" s="331" t="s">
        <v>327</v>
      </c>
      <c r="C140" s="330" t="s">
        <v>322</v>
      </c>
      <c r="D140" s="452">
        <v>0</v>
      </c>
      <c r="E140" s="452"/>
      <c r="F140" s="452">
        <v>0</v>
      </c>
      <c r="G140" s="452"/>
      <c r="H140" s="452">
        <v>0</v>
      </c>
      <c r="I140" s="452"/>
      <c r="J140" s="282">
        <v>123</v>
      </c>
    </row>
    <row r="141" spans="1:10" ht="14.7" customHeight="1">
      <c r="A141" s="324"/>
      <c r="B141" s="433" t="s">
        <v>124</v>
      </c>
      <c r="C141" s="330" t="s">
        <v>26</v>
      </c>
      <c r="D141" s="339">
        <v>50</v>
      </c>
      <c r="E141" s="452"/>
      <c r="F141" s="339">
        <v>50</v>
      </c>
      <c r="G141" s="452"/>
      <c r="H141" s="339">
        <v>50</v>
      </c>
      <c r="I141" s="452"/>
      <c r="J141" s="339">
        <v>38</v>
      </c>
    </row>
    <row r="142" spans="1:10" ht="14.7" customHeight="1">
      <c r="A142" s="324"/>
      <c r="B142" s="433" t="s">
        <v>125</v>
      </c>
      <c r="C142" s="330" t="s">
        <v>28</v>
      </c>
      <c r="D142" s="339">
        <v>820</v>
      </c>
      <c r="E142" s="452"/>
      <c r="F142" s="339">
        <v>451</v>
      </c>
      <c r="G142" s="452"/>
      <c r="H142" s="339">
        <v>600</v>
      </c>
      <c r="I142" s="452"/>
      <c r="J142" s="339">
        <v>83</v>
      </c>
    </row>
    <row r="143" spans="1:10" ht="14.7" customHeight="1">
      <c r="A143" s="324" t="s">
        <v>3</v>
      </c>
      <c r="B143" s="338">
        <v>0.71</v>
      </c>
      <c r="C143" s="330" t="s">
        <v>129</v>
      </c>
      <c r="D143" s="450">
        <f t="shared" ref="D143:H143" si="27">SUM(D139:D142)</f>
        <v>6775</v>
      </c>
      <c r="E143" s="451"/>
      <c r="F143" s="450">
        <f t="shared" si="27"/>
        <v>6621</v>
      </c>
      <c r="G143" s="451"/>
      <c r="H143" s="450">
        <f t="shared" si="27"/>
        <v>6770</v>
      </c>
      <c r="I143" s="451"/>
      <c r="J143" s="450">
        <v>11199</v>
      </c>
    </row>
    <row r="144" spans="1:10" ht="10.199999999999999" customHeight="1">
      <c r="A144" s="324"/>
      <c r="B144" s="338"/>
      <c r="C144" s="330"/>
      <c r="D144" s="395"/>
      <c r="E144" s="395"/>
      <c r="F144" s="395"/>
      <c r="G144" s="368"/>
      <c r="H144" s="395"/>
      <c r="I144" s="395"/>
      <c r="J144" s="368"/>
    </row>
    <row r="145" spans="1:10" ht="14.7" customHeight="1">
      <c r="A145" s="324"/>
      <c r="B145" s="338">
        <v>0.72</v>
      </c>
      <c r="C145" s="330" t="s">
        <v>132</v>
      </c>
      <c r="D145" s="395"/>
      <c r="E145" s="395"/>
      <c r="F145" s="395"/>
      <c r="G145" s="368"/>
      <c r="H145" s="395"/>
      <c r="I145" s="395"/>
      <c r="J145" s="368"/>
    </row>
    <row r="146" spans="1:10" ht="14.7" customHeight="1">
      <c r="A146" s="324"/>
      <c r="B146" s="331" t="s">
        <v>126</v>
      </c>
      <c r="C146" s="330" t="s">
        <v>24</v>
      </c>
      <c r="D146" s="339">
        <v>2779</v>
      </c>
      <c r="E146" s="452"/>
      <c r="F146" s="339">
        <v>3327</v>
      </c>
      <c r="G146" s="452"/>
      <c r="H146" s="339">
        <v>3327</v>
      </c>
      <c r="I146" s="452"/>
      <c r="J146" s="282">
        <v>5037</v>
      </c>
    </row>
    <row r="147" spans="1:10" ht="14.7" customHeight="1">
      <c r="A147" s="324"/>
      <c r="B147" s="331" t="s">
        <v>328</v>
      </c>
      <c r="C147" s="330" t="s">
        <v>322</v>
      </c>
      <c r="D147" s="452">
        <v>0</v>
      </c>
      <c r="E147" s="452"/>
      <c r="F147" s="452">
        <v>0</v>
      </c>
      <c r="G147" s="452"/>
      <c r="H147" s="452">
        <v>0</v>
      </c>
      <c r="I147" s="452"/>
      <c r="J147" s="282">
        <v>451</v>
      </c>
    </row>
    <row r="148" spans="1:10" ht="14.7" customHeight="1">
      <c r="A148" s="324"/>
      <c r="B148" s="433" t="s">
        <v>127</v>
      </c>
      <c r="C148" s="330" t="s">
        <v>26</v>
      </c>
      <c r="D148" s="339">
        <v>75</v>
      </c>
      <c r="E148" s="452"/>
      <c r="F148" s="339">
        <v>50</v>
      </c>
      <c r="G148" s="452"/>
      <c r="H148" s="339">
        <v>50</v>
      </c>
      <c r="I148" s="452"/>
      <c r="J148" s="339">
        <v>38</v>
      </c>
    </row>
    <row r="149" spans="1:10" ht="13.95" customHeight="1">
      <c r="A149" s="324"/>
      <c r="B149" s="433" t="s">
        <v>128</v>
      </c>
      <c r="C149" s="330" t="s">
        <v>28</v>
      </c>
      <c r="D149" s="339">
        <v>750</v>
      </c>
      <c r="E149" s="452"/>
      <c r="F149" s="339">
        <v>451</v>
      </c>
      <c r="G149" s="452"/>
      <c r="H149" s="339">
        <v>500</v>
      </c>
      <c r="I149" s="452"/>
      <c r="J149" s="339">
        <v>83</v>
      </c>
    </row>
    <row r="150" spans="1:10" ht="13.95" customHeight="1">
      <c r="A150" s="324" t="s">
        <v>3</v>
      </c>
      <c r="B150" s="338">
        <v>0.72</v>
      </c>
      <c r="C150" s="330" t="s">
        <v>132</v>
      </c>
      <c r="D150" s="450">
        <f t="shared" ref="D150:H150" si="28">SUM(D146:D149)</f>
        <v>3604</v>
      </c>
      <c r="E150" s="451"/>
      <c r="F150" s="450">
        <f t="shared" si="28"/>
        <v>3828</v>
      </c>
      <c r="G150" s="451"/>
      <c r="H150" s="450">
        <f t="shared" si="28"/>
        <v>3877</v>
      </c>
      <c r="I150" s="451"/>
      <c r="J150" s="450">
        <v>5609</v>
      </c>
    </row>
    <row r="151" spans="1:10" ht="13.95" customHeight="1">
      <c r="A151" s="324" t="s">
        <v>3</v>
      </c>
      <c r="B151" s="327">
        <v>0.10100000000000001</v>
      </c>
      <c r="C151" s="326" t="s">
        <v>39</v>
      </c>
      <c r="D151" s="444">
        <f t="shared" ref="D151:H151" si="29">D122+D115+D109+D103+D99+D150+D143+D129+D136</f>
        <v>80207</v>
      </c>
      <c r="E151" s="445"/>
      <c r="F151" s="444">
        <f t="shared" si="29"/>
        <v>513322</v>
      </c>
      <c r="G151" s="445"/>
      <c r="H151" s="444">
        <f t="shared" si="29"/>
        <v>413719</v>
      </c>
      <c r="I151" s="445"/>
      <c r="J151" s="444">
        <v>585557</v>
      </c>
    </row>
    <row r="152" spans="1:10">
      <c r="A152" s="324"/>
      <c r="B152" s="325"/>
      <c r="C152" s="326"/>
      <c r="D152" s="367"/>
      <c r="E152" s="367"/>
      <c r="F152" s="367"/>
      <c r="G152" s="367"/>
      <c r="H152" s="367"/>
      <c r="I152" s="367"/>
      <c r="J152" s="367"/>
    </row>
    <row r="153" spans="1:10" ht="15" customHeight="1">
      <c r="A153" s="324"/>
      <c r="B153" s="334">
        <v>0.19600000000000001</v>
      </c>
      <c r="C153" s="326" t="s">
        <v>294</v>
      </c>
      <c r="D153" s="367"/>
      <c r="E153" s="367"/>
      <c r="F153" s="367"/>
      <c r="G153" s="367"/>
      <c r="H153" s="367"/>
      <c r="I153" s="367"/>
      <c r="J153" s="390"/>
    </row>
    <row r="154" spans="1:10" ht="15" customHeight="1">
      <c r="A154" s="324"/>
      <c r="B154" s="335">
        <v>61</v>
      </c>
      <c r="C154" s="330" t="s">
        <v>54</v>
      </c>
      <c r="D154" s="367"/>
      <c r="E154" s="367"/>
      <c r="F154" s="367"/>
      <c r="G154" s="367"/>
      <c r="H154" s="367"/>
      <c r="I154" s="367"/>
      <c r="J154" s="367"/>
    </row>
    <row r="155" spans="1:10" ht="15" customHeight="1">
      <c r="A155" s="324"/>
      <c r="B155" s="331" t="s">
        <v>232</v>
      </c>
      <c r="C155" s="330" t="s">
        <v>140</v>
      </c>
      <c r="D155" s="333">
        <v>64266</v>
      </c>
      <c r="E155" s="332"/>
      <c r="F155" s="333">
        <v>73291</v>
      </c>
      <c r="G155" s="332"/>
      <c r="H155" s="333">
        <v>79843</v>
      </c>
      <c r="I155" s="332"/>
      <c r="J155" s="333">
        <v>123055</v>
      </c>
    </row>
    <row r="156" spans="1:10" ht="28.2" customHeight="1">
      <c r="A156" s="324"/>
      <c r="B156" s="335" t="s">
        <v>234</v>
      </c>
      <c r="C156" s="330" t="s">
        <v>235</v>
      </c>
      <c r="D156" s="333">
        <v>1200</v>
      </c>
      <c r="E156" s="332"/>
      <c r="F156" s="333">
        <v>1200</v>
      </c>
      <c r="G156" s="332"/>
      <c r="H156" s="333">
        <v>1200</v>
      </c>
      <c r="I156" s="332"/>
      <c r="J156" s="333">
        <v>1200</v>
      </c>
    </row>
    <row r="157" spans="1:10" ht="15" customHeight="1">
      <c r="A157" s="324"/>
      <c r="B157" s="335" t="s">
        <v>104</v>
      </c>
      <c r="C157" s="330" t="s">
        <v>105</v>
      </c>
      <c r="D157" s="447">
        <v>1460</v>
      </c>
      <c r="E157" s="448"/>
      <c r="F157" s="447">
        <v>1540</v>
      </c>
      <c r="G157" s="448"/>
      <c r="H157" s="447">
        <v>1540</v>
      </c>
      <c r="I157" s="448"/>
      <c r="J157" s="447">
        <v>1490</v>
      </c>
    </row>
    <row r="158" spans="1:10" ht="15" customHeight="1">
      <c r="A158" s="324" t="s">
        <v>3</v>
      </c>
      <c r="B158" s="335">
        <v>61</v>
      </c>
      <c r="C158" s="330" t="s">
        <v>54</v>
      </c>
      <c r="D158" s="447">
        <f t="shared" ref="D158:H158" si="30">D157+D155+D156</f>
        <v>66926</v>
      </c>
      <c r="E158" s="448"/>
      <c r="F158" s="447">
        <f t="shared" si="30"/>
        <v>76031</v>
      </c>
      <c r="G158" s="448"/>
      <c r="H158" s="447">
        <f t="shared" si="30"/>
        <v>82583</v>
      </c>
      <c r="I158" s="448"/>
      <c r="J158" s="447">
        <v>125745</v>
      </c>
    </row>
    <row r="159" spans="1:10" ht="15" customHeight="1">
      <c r="A159" s="340" t="s">
        <v>3</v>
      </c>
      <c r="B159" s="440">
        <v>0.19600000000000001</v>
      </c>
      <c r="C159" s="437" t="s">
        <v>294</v>
      </c>
      <c r="D159" s="447">
        <f t="shared" ref="D159:H159" si="31">D158</f>
        <v>66926</v>
      </c>
      <c r="E159" s="448"/>
      <c r="F159" s="447">
        <f t="shared" si="31"/>
        <v>76031</v>
      </c>
      <c r="G159" s="448"/>
      <c r="H159" s="447">
        <f t="shared" si="31"/>
        <v>82583</v>
      </c>
      <c r="I159" s="448"/>
      <c r="J159" s="447">
        <v>125745</v>
      </c>
    </row>
    <row r="160" spans="1:10">
      <c r="A160" s="324"/>
      <c r="B160" s="334"/>
      <c r="C160" s="326"/>
      <c r="D160" s="367"/>
      <c r="E160" s="367"/>
      <c r="F160" s="367"/>
      <c r="G160" s="367"/>
      <c r="H160" s="367"/>
      <c r="I160" s="367"/>
      <c r="J160" s="367"/>
    </row>
    <row r="161" spans="1:10" ht="13.95" customHeight="1">
      <c r="A161" s="324"/>
      <c r="B161" s="334">
        <v>0.19800000000000001</v>
      </c>
      <c r="C161" s="326" t="s">
        <v>6</v>
      </c>
      <c r="D161" s="367"/>
      <c r="E161" s="367"/>
      <c r="F161" s="367"/>
      <c r="G161" s="367"/>
      <c r="H161" s="367"/>
      <c r="I161" s="367"/>
      <c r="J161" s="390"/>
    </row>
    <row r="162" spans="1:10" ht="27" customHeight="1">
      <c r="A162" s="324"/>
      <c r="B162" s="335">
        <v>61</v>
      </c>
      <c r="C162" s="330" t="s">
        <v>55</v>
      </c>
      <c r="D162" s="367"/>
      <c r="E162" s="367"/>
      <c r="F162" s="367"/>
      <c r="G162" s="367"/>
      <c r="H162" s="367"/>
      <c r="I162" s="367"/>
      <c r="J162" s="390"/>
    </row>
    <row r="163" spans="1:10" ht="13.95" customHeight="1">
      <c r="A163" s="324"/>
      <c r="B163" s="331" t="s">
        <v>232</v>
      </c>
      <c r="C163" s="330" t="s">
        <v>140</v>
      </c>
      <c r="D163" s="333">
        <v>139029</v>
      </c>
      <c r="E163" s="332"/>
      <c r="F163" s="333">
        <v>160062</v>
      </c>
      <c r="G163" s="332"/>
      <c r="H163" s="333">
        <v>231485</v>
      </c>
      <c r="I163" s="332"/>
      <c r="J163" s="333">
        <v>269164</v>
      </c>
    </row>
    <row r="164" spans="1:10" ht="13.95" customHeight="1">
      <c r="A164" s="324"/>
      <c r="B164" s="335" t="s">
        <v>104</v>
      </c>
      <c r="C164" s="330" t="s">
        <v>308</v>
      </c>
      <c r="D164" s="447">
        <v>6332</v>
      </c>
      <c r="E164" s="448"/>
      <c r="F164" s="447">
        <v>6491</v>
      </c>
      <c r="G164" s="448"/>
      <c r="H164" s="447">
        <v>6491</v>
      </c>
      <c r="I164" s="448"/>
      <c r="J164" s="447">
        <v>6495</v>
      </c>
    </row>
    <row r="165" spans="1:10" ht="27" customHeight="1">
      <c r="A165" s="324" t="s">
        <v>3</v>
      </c>
      <c r="B165" s="335">
        <v>61</v>
      </c>
      <c r="C165" s="330" t="s">
        <v>56</v>
      </c>
      <c r="D165" s="447">
        <f t="shared" ref="D165:H165" si="32">D164+D163</f>
        <v>145361</v>
      </c>
      <c r="E165" s="448"/>
      <c r="F165" s="447">
        <f t="shared" si="32"/>
        <v>166553</v>
      </c>
      <c r="G165" s="448"/>
      <c r="H165" s="447">
        <f t="shared" si="32"/>
        <v>237976</v>
      </c>
      <c r="I165" s="448"/>
      <c r="J165" s="447">
        <v>275659</v>
      </c>
    </row>
    <row r="166" spans="1:10" ht="13.95" customHeight="1">
      <c r="A166" s="324" t="s">
        <v>3</v>
      </c>
      <c r="B166" s="334">
        <v>0.19800000000000001</v>
      </c>
      <c r="C166" s="326" t="s">
        <v>6</v>
      </c>
      <c r="D166" s="333">
        <f t="shared" ref="D166:H166" si="33">D165</f>
        <v>145361</v>
      </c>
      <c r="E166" s="332"/>
      <c r="F166" s="333">
        <f t="shared" si="33"/>
        <v>166553</v>
      </c>
      <c r="G166" s="332"/>
      <c r="H166" s="333">
        <f t="shared" si="33"/>
        <v>237976</v>
      </c>
      <c r="I166" s="332"/>
      <c r="J166" s="333">
        <v>275659</v>
      </c>
    </row>
    <row r="167" spans="1:10" ht="13.95" customHeight="1">
      <c r="A167" s="324" t="s">
        <v>3</v>
      </c>
      <c r="B167" s="325">
        <v>2515</v>
      </c>
      <c r="C167" s="326" t="s">
        <v>0</v>
      </c>
      <c r="D167" s="444">
        <f t="shared" ref="D167:H167" si="34">D151+D166+D159</f>
        <v>292494</v>
      </c>
      <c r="E167" s="445"/>
      <c r="F167" s="444">
        <f t="shared" si="34"/>
        <v>755906</v>
      </c>
      <c r="G167" s="445"/>
      <c r="H167" s="444">
        <f t="shared" si="34"/>
        <v>734278</v>
      </c>
      <c r="I167" s="445"/>
      <c r="J167" s="444">
        <v>986961</v>
      </c>
    </row>
    <row r="168" spans="1:10">
      <c r="A168" s="324"/>
      <c r="B168" s="335"/>
      <c r="C168" s="326"/>
      <c r="D168" s="367"/>
      <c r="E168" s="367"/>
      <c r="F168" s="367"/>
      <c r="G168" s="367"/>
      <c r="H168" s="367"/>
      <c r="I168" s="367"/>
      <c r="J168" s="367"/>
    </row>
    <row r="169" spans="1:10" ht="28.5" customHeight="1">
      <c r="A169" s="300" t="s">
        <v>5</v>
      </c>
      <c r="B169" s="341">
        <v>3604</v>
      </c>
      <c r="C169" s="342" t="s">
        <v>58</v>
      </c>
      <c r="D169" s="388"/>
      <c r="E169" s="388"/>
      <c r="F169" s="388"/>
      <c r="G169" s="388"/>
      <c r="H169" s="388"/>
      <c r="I169" s="388"/>
      <c r="J169" s="388"/>
    </row>
    <row r="170" spans="1:10" ht="27" customHeight="1">
      <c r="A170" s="300"/>
      <c r="B170" s="343">
        <v>0.2</v>
      </c>
      <c r="C170" s="342" t="s">
        <v>62</v>
      </c>
      <c r="D170" s="387"/>
      <c r="E170" s="387"/>
      <c r="F170" s="387"/>
      <c r="G170" s="387"/>
      <c r="H170" s="387"/>
      <c r="I170" s="387"/>
      <c r="J170" s="387"/>
    </row>
    <row r="171" spans="1:10" ht="26.4">
      <c r="A171" s="300"/>
      <c r="B171" s="316">
        <v>95</v>
      </c>
      <c r="C171" s="1" t="s">
        <v>179</v>
      </c>
      <c r="D171" s="395"/>
      <c r="E171" s="395"/>
      <c r="F171" s="395"/>
      <c r="G171" s="388"/>
      <c r="H171" s="395"/>
      <c r="I171" s="395"/>
      <c r="J171" s="388"/>
    </row>
    <row r="172" spans="1:10" ht="15" customHeight="1">
      <c r="A172" s="300"/>
      <c r="B172" s="344">
        <v>4</v>
      </c>
      <c r="C172" s="1" t="s">
        <v>182</v>
      </c>
      <c r="D172" s="395"/>
      <c r="E172" s="395"/>
      <c r="F172" s="395"/>
      <c r="G172" s="388"/>
      <c r="H172" s="395"/>
      <c r="I172" s="395"/>
      <c r="J172" s="388"/>
    </row>
    <row r="173" spans="1:10" ht="15" customHeight="1">
      <c r="A173" s="300"/>
      <c r="B173" s="344" t="s">
        <v>180</v>
      </c>
      <c r="C173" s="1" t="s">
        <v>60</v>
      </c>
      <c r="D173" s="339">
        <v>35254</v>
      </c>
      <c r="E173" s="452"/>
      <c r="F173" s="339">
        <v>36754</v>
      </c>
      <c r="G173" s="452"/>
      <c r="H173" s="339">
        <v>36754</v>
      </c>
      <c r="I173" s="452"/>
      <c r="J173" s="328">
        <v>59691</v>
      </c>
    </row>
    <row r="174" spans="1:10" ht="15" customHeight="1">
      <c r="A174" s="300"/>
      <c r="B174" s="344" t="s">
        <v>181</v>
      </c>
      <c r="C174" s="1" t="s">
        <v>61</v>
      </c>
      <c r="D174" s="339">
        <v>82260</v>
      </c>
      <c r="E174" s="452"/>
      <c r="F174" s="339">
        <v>85759</v>
      </c>
      <c r="G174" s="452"/>
      <c r="H174" s="339">
        <v>85759</v>
      </c>
      <c r="I174" s="452"/>
      <c r="J174" s="328">
        <v>139280</v>
      </c>
    </row>
    <row r="175" spans="1:10" ht="15" customHeight="1">
      <c r="A175" s="300" t="s">
        <v>3</v>
      </c>
      <c r="B175" s="344">
        <v>4</v>
      </c>
      <c r="C175" s="3" t="s">
        <v>182</v>
      </c>
      <c r="D175" s="450">
        <f t="shared" ref="D175:H175" si="35">SUM(D173:D174)</f>
        <v>117514</v>
      </c>
      <c r="E175" s="451"/>
      <c r="F175" s="450">
        <f t="shared" si="35"/>
        <v>122513</v>
      </c>
      <c r="G175" s="451"/>
      <c r="H175" s="450">
        <f t="shared" si="35"/>
        <v>122513</v>
      </c>
      <c r="I175" s="451"/>
      <c r="J175" s="457">
        <v>198971</v>
      </c>
    </row>
    <row r="176" spans="1:10" ht="26.4">
      <c r="A176" s="300" t="s">
        <v>3</v>
      </c>
      <c r="B176" s="301">
        <v>95</v>
      </c>
      <c r="C176" s="3" t="s">
        <v>179</v>
      </c>
      <c r="D176" s="450">
        <f t="shared" ref="D176:H176" si="36">D175</f>
        <v>117514</v>
      </c>
      <c r="E176" s="451"/>
      <c r="F176" s="450">
        <f t="shared" si="36"/>
        <v>122513</v>
      </c>
      <c r="G176" s="451"/>
      <c r="H176" s="450">
        <f t="shared" si="36"/>
        <v>122513</v>
      </c>
      <c r="I176" s="451"/>
      <c r="J176" s="457">
        <v>198971</v>
      </c>
    </row>
    <row r="177" spans="1:10">
      <c r="A177" s="300"/>
      <c r="B177" s="301"/>
      <c r="C177" s="3"/>
      <c r="D177" s="395"/>
      <c r="E177" s="395"/>
      <c r="F177" s="395"/>
      <c r="G177" s="388"/>
      <c r="H177" s="395"/>
      <c r="I177" s="395"/>
      <c r="J177" s="388"/>
    </row>
    <row r="178" spans="1:10" ht="27" customHeight="1">
      <c r="A178" s="300"/>
      <c r="B178" s="301">
        <v>96</v>
      </c>
      <c r="C178" s="3" t="s">
        <v>183</v>
      </c>
      <c r="D178" s="395"/>
      <c r="E178" s="395"/>
      <c r="F178" s="395"/>
      <c r="G178" s="388"/>
      <c r="H178" s="395"/>
      <c r="I178" s="395"/>
      <c r="J178" s="388"/>
    </row>
    <row r="179" spans="1:10" ht="15" customHeight="1">
      <c r="A179" s="300"/>
      <c r="B179" s="344">
        <v>6</v>
      </c>
      <c r="C179" s="3" t="s">
        <v>184</v>
      </c>
      <c r="D179" s="395"/>
      <c r="E179" s="395"/>
      <c r="F179" s="395"/>
      <c r="G179" s="388"/>
      <c r="H179" s="395"/>
      <c r="I179" s="395"/>
      <c r="J179" s="388"/>
    </row>
    <row r="180" spans="1:10" ht="15" customHeight="1">
      <c r="A180" s="300"/>
      <c r="B180" s="344" t="s">
        <v>185</v>
      </c>
      <c r="C180" s="3" t="s">
        <v>61</v>
      </c>
      <c r="D180" s="454">
        <v>256500</v>
      </c>
      <c r="E180" s="453"/>
      <c r="F180" s="454">
        <v>296700</v>
      </c>
      <c r="G180" s="453"/>
      <c r="H180" s="454">
        <v>296700</v>
      </c>
      <c r="I180" s="453"/>
      <c r="J180" s="458">
        <v>400900</v>
      </c>
    </row>
    <row r="181" spans="1:10" ht="15" customHeight="1">
      <c r="A181" s="300" t="s">
        <v>3</v>
      </c>
      <c r="B181" s="344">
        <v>6</v>
      </c>
      <c r="C181" s="3" t="s">
        <v>184</v>
      </c>
      <c r="D181" s="454">
        <f t="shared" ref="D181:H182" si="37">D180</f>
        <v>256500</v>
      </c>
      <c r="E181" s="453"/>
      <c r="F181" s="454">
        <f t="shared" si="37"/>
        <v>296700</v>
      </c>
      <c r="G181" s="453"/>
      <c r="H181" s="454">
        <f t="shared" si="37"/>
        <v>296700</v>
      </c>
      <c r="I181" s="453"/>
      <c r="J181" s="458">
        <v>400900</v>
      </c>
    </row>
    <row r="182" spans="1:10" ht="27" customHeight="1">
      <c r="A182" s="336" t="s">
        <v>3</v>
      </c>
      <c r="B182" s="462">
        <v>96</v>
      </c>
      <c r="C182" s="360" t="s">
        <v>183</v>
      </c>
      <c r="D182" s="454">
        <f t="shared" si="37"/>
        <v>256500</v>
      </c>
      <c r="E182" s="453"/>
      <c r="F182" s="454">
        <f t="shared" si="37"/>
        <v>296700</v>
      </c>
      <c r="G182" s="453"/>
      <c r="H182" s="454">
        <f t="shared" si="37"/>
        <v>296700</v>
      </c>
      <c r="I182" s="453"/>
      <c r="J182" s="454">
        <v>400900</v>
      </c>
    </row>
    <row r="183" spans="1:10" ht="10.050000000000001" customHeight="1">
      <c r="A183" s="300"/>
      <c r="B183" s="301"/>
      <c r="C183" s="3"/>
      <c r="D183" s="396"/>
      <c r="E183" s="396"/>
      <c r="F183" s="396"/>
      <c r="G183" s="396"/>
      <c r="H183" s="396"/>
      <c r="I183" s="396"/>
      <c r="J183" s="396"/>
    </row>
    <row r="184" spans="1:10" ht="26.4">
      <c r="A184" s="300"/>
      <c r="B184" s="301">
        <v>97</v>
      </c>
      <c r="C184" s="3" t="s">
        <v>224</v>
      </c>
      <c r="D184" s="395"/>
      <c r="E184" s="395"/>
      <c r="F184" s="395"/>
      <c r="G184" s="388"/>
      <c r="H184" s="395"/>
      <c r="I184" s="395"/>
      <c r="J184" s="388"/>
    </row>
    <row r="185" spans="1:10" ht="15" customHeight="1">
      <c r="A185" s="300"/>
      <c r="B185" s="344">
        <v>7</v>
      </c>
      <c r="C185" s="3" t="s">
        <v>222</v>
      </c>
      <c r="D185" s="395"/>
      <c r="E185" s="395"/>
      <c r="F185" s="395"/>
      <c r="G185" s="388"/>
      <c r="H185" s="395"/>
      <c r="I185" s="395"/>
      <c r="J185" s="388"/>
    </row>
    <row r="186" spans="1:10" ht="15" customHeight="1">
      <c r="A186" s="300"/>
      <c r="B186" s="344" t="s">
        <v>223</v>
      </c>
      <c r="C186" s="3" t="s">
        <v>61</v>
      </c>
      <c r="D186" s="454">
        <v>33000</v>
      </c>
      <c r="E186" s="453"/>
      <c r="F186" s="454">
        <v>37400</v>
      </c>
      <c r="G186" s="453"/>
      <c r="H186" s="454">
        <v>37400</v>
      </c>
      <c r="I186" s="453"/>
      <c r="J186" s="458">
        <v>49000</v>
      </c>
    </row>
    <row r="187" spans="1:10" ht="15" customHeight="1">
      <c r="A187" s="300" t="s">
        <v>3</v>
      </c>
      <c r="B187" s="344">
        <v>7</v>
      </c>
      <c r="C187" s="3" t="s">
        <v>222</v>
      </c>
      <c r="D187" s="454">
        <f t="shared" ref="D187:H188" si="38">D186</f>
        <v>33000</v>
      </c>
      <c r="E187" s="453"/>
      <c r="F187" s="454">
        <f t="shared" si="38"/>
        <v>37400</v>
      </c>
      <c r="G187" s="453"/>
      <c r="H187" s="454">
        <f t="shared" si="38"/>
        <v>37400</v>
      </c>
      <c r="I187" s="453"/>
      <c r="J187" s="458">
        <v>49000</v>
      </c>
    </row>
    <row r="188" spans="1:10" ht="26.4">
      <c r="A188" s="300" t="s">
        <v>3</v>
      </c>
      <c r="B188" s="301">
        <v>97</v>
      </c>
      <c r="C188" s="3" t="s">
        <v>224</v>
      </c>
      <c r="D188" s="454">
        <f t="shared" si="38"/>
        <v>33000</v>
      </c>
      <c r="E188" s="453"/>
      <c r="F188" s="454">
        <f t="shared" si="38"/>
        <v>37400</v>
      </c>
      <c r="G188" s="453"/>
      <c r="H188" s="454">
        <f t="shared" si="38"/>
        <v>37400</v>
      </c>
      <c r="I188" s="453"/>
      <c r="J188" s="454">
        <v>49000</v>
      </c>
    </row>
    <row r="189" spans="1:10">
      <c r="A189" s="300"/>
      <c r="B189" s="301"/>
      <c r="C189" s="3"/>
      <c r="D189" s="396"/>
      <c r="E189" s="396"/>
      <c r="F189" s="396"/>
      <c r="G189" s="396"/>
      <c r="H189" s="396"/>
      <c r="I189" s="396"/>
      <c r="J189" s="396"/>
    </row>
    <row r="190" spans="1:10" ht="26.4">
      <c r="A190" s="300"/>
      <c r="B190" s="301">
        <v>98</v>
      </c>
      <c r="C190" s="3" t="s">
        <v>233</v>
      </c>
      <c r="D190" s="395"/>
      <c r="E190" s="395"/>
      <c r="F190" s="395"/>
      <c r="G190" s="388"/>
      <c r="H190" s="395"/>
      <c r="I190" s="395"/>
      <c r="J190" s="388"/>
    </row>
    <row r="191" spans="1:10" ht="14.85" customHeight="1">
      <c r="A191" s="300"/>
      <c r="B191" s="344">
        <v>4</v>
      </c>
      <c r="C191" s="3" t="s">
        <v>229</v>
      </c>
      <c r="D191" s="395"/>
      <c r="E191" s="395"/>
      <c r="F191" s="395"/>
      <c r="G191" s="388"/>
      <c r="H191" s="395"/>
      <c r="I191" s="395"/>
      <c r="J191" s="388"/>
    </row>
    <row r="192" spans="1:10" ht="14.85" customHeight="1">
      <c r="A192" s="300"/>
      <c r="B192" s="344" t="s">
        <v>236</v>
      </c>
      <c r="C192" s="1" t="s">
        <v>60</v>
      </c>
      <c r="D192" s="339">
        <v>23633</v>
      </c>
      <c r="E192" s="452"/>
      <c r="F192" s="339">
        <v>24192</v>
      </c>
      <c r="G192" s="452"/>
      <c r="H192" s="339">
        <v>24192</v>
      </c>
      <c r="I192" s="452"/>
      <c r="J192" s="328">
        <v>24603</v>
      </c>
    </row>
    <row r="193" spans="1:10" ht="14.85" customHeight="1">
      <c r="A193" s="300"/>
      <c r="B193" s="344" t="s">
        <v>237</v>
      </c>
      <c r="C193" s="1" t="s">
        <v>61</v>
      </c>
      <c r="D193" s="339">
        <v>50303</v>
      </c>
      <c r="E193" s="452"/>
      <c r="F193" s="339">
        <v>51218</v>
      </c>
      <c r="G193" s="452"/>
      <c r="H193" s="339">
        <v>51218</v>
      </c>
      <c r="I193" s="452"/>
      <c r="J193" s="328">
        <v>51759</v>
      </c>
    </row>
    <row r="194" spans="1:10" ht="14.85" customHeight="1">
      <c r="A194" s="300" t="s">
        <v>3</v>
      </c>
      <c r="B194" s="344">
        <v>4</v>
      </c>
      <c r="C194" s="3" t="s">
        <v>229</v>
      </c>
      <c r="D194" s="450">
        <f t="shared" ref="D194:H194" si="39">SUM(D192:D193)</f>
        <v>73936</v>
      </c>
      <c r="E194" s="451"/>
      <c r="F194" s="450">
        <f t="shared" si="39"/>
        <v>75410</v>
      </c>
      <c r="G194" s="451"/>
      <c r="H194" s="450">
        <f t="shared" si="39"/>
        <v>75410</v>
      </c>
      <c r="I194" s="451"/>
      <c r="J194" s="457">
        <v>76362</v>
      </c>
    </row>
    <row r="195" spans="1:10">
      <c r="A195" s="300"/>
      <c r="B195" s="344"/>
      <c r="C195" s="3"/>
      <c r="D195" s="388"/>
      <c r="E195" s="388"/>
      <c r="F195" s="388"/>
      <c r="G195" s="388"/>
      <c r="H195" s="388"/>
      <c r="I195" s="388"/>
      <c r="J195" s="388"/>
    </row>
    <row r="196" spans="1:10" ht="14.4" customHeight="1">
      <c r="A196" s="300"/>
      <c r="B196" s="344">
        <v>7</v>
      </c>
      <c r="C196" s="3" t="s">
        <v>230</v>
      </c>
      <c r="D196" s="395"/>
      <c r="E196" s="395"/>
      <c r="F196" s="395"/>
      <c r="G196" s="388"/>
      <c r="H196" s="395"/>
      <c r="I196" s="395"/>
      <c r="J196" s="388"/>
    </row>
    <row r="197" spans="1:10" ht="14.4" customHeight="1">
      <c r="A197" s="300"/>
      <c r="B197" s="344" t="s">
        <v>238</v>
      </c>
      <c r="C197" s="1" t="s">
        <v>60</v>
      </c>
      <c r="D197" s="339">
        <v>10128</v>
      </c>
      <c r="E197" s="452"/>
      <c r="F197" s="339">
        <v>10368</v>
      </c>
      <c r="G197" s="452"/>
      <c r="H197" s="339">
        <v>10368</v>
      </c>
      <c r="I197" s="452"/>
      <c r="J197" s="328">
        <v>10544</v>
      </c>
    </row>
    <row r="198" spans="1:10" ht="14.4" customHeight="1">
      <c r="A198" s="300"/>
      <c r="B198" s="344" t="s">
        <v>239</v>
      </c>
      <c r="C198" s="1" t="s">
        <v>61</v>
      </c>
      <c r="D198" s="339">
        <v>17135</v>
      </c>
      <c r="E198" s="452"/>
      <c r="F198" s="339">
        <v>21951</v>
      </c>
      <c r="G198" s="452"/>
      <c r="H198" s="339">
        <v>21951</v>
      </c>
      <c r="I198" s="452"/>
      <c r="J198" s="328">
        <v>22182</v>
      </c>
    </row>
    <row r="199" spans="1:10" ht="14.4" customHeight="1">
      <c r="A199" s="300" t="s">
        <v>3</v>
      </c>
      <c r="B199" s="344">
        <v>7</v>
      </c>
      <c r="C199" s="3" t="s">
        <v>230</v>
      </c>
      <c r="D199" s="450">
        <f t="shared" ref="D199:H199" si="40">SUM(D197:D198)</f>
        <v>27263</v>
      </c>
      <c r="E199" s="451"/>
      <c r="F199" s="450">
        <f t="shared" si="40"/>
        <v>32319</v>
      </c>
      <c r="G199" s="451"/>
      <c r="H199" s="450">
        <f t="shared" si="40"/>
        <v>32319</v>
      </c>
      <c r="I199" s="451"/>
      <c r="J199" s="457">
        <v>32726</v>
      </c>
    </row>
    <row r="200" spans="1:10" ht="26.4">
      <c r="A200" s="300" t="s">
        <v>3</v>
      </c>
      <c r="B200" s="301">
        <v>98</v>
      </c>
      <c r="C200" s="3" t="s">
        <v>233</v>
      </c>
      <c r="D200" s="450">
        <f t="shared" ref="D200:H200" si="41">D199+D194</f>
        <v>101199</v>
      </c>
      <c r="E200" s="451"/>
      <c r="F200" s="450">
        <f t="shared" si="41"/>
        <v>107729</v>
      </c>
      <c r="G200" s="451"/>
      <c r="H200" s="450">
        <f t="shared" si="41"/>
        <v>107729</v>
      </c>
      <c r="I200" s="451"/>
      <c r="J200" s="450">
        <v>109088</v>
      </c>
    </row>
    <row r="201" spans="1:10" ht="27" customHeight="1">
      <c r="A201" s="300" t="s">
        <v>3</v>
      </c>
      <c r="B201" s="343">
        <v>0.2</v>
      </c>
      <c r="C201" s="342" t="s">
        <v>62</v>
      </c>
      <c r="D201" s="450">
        <f t="shared" ref="D201:H201" si="42">D176+D182+D188+D200</f>
        <v>508213</v>
      </c>
      <c r="E201" s="451"/>
      <c r="F201" s="450">
        <f t="shared" si="42"/>
        <v>564342</v>
      </c>
      <c r="G201" s="451"/>
      <c r="H201" s="450">
        <f t="shared" si="42"/>
        <v>564342</v>
      </c>
      <c r="I201" s="451"/>
      <c r="J201" s="450">
        <v>757959</v>
      </c>
    </row>
    <row r="202" spans="1:10" ht="26.7" customHeight="1">
      <c r="A202" s="300" t="s">
        <v>3</v>
      </c>
      <c r="B202" s="341">
        <v>3604</v>
      </c>
      <c r="C202" s="342" t="s">
        <v>58</v>
      </c>
      <c r="D202" s="459">
        <f t="shared" ref="D202:H202" si="43">+D201</f>
        <v>508213</v>
      </c>
      <c r="E202" s="460"/>
      <c r="F202" s="459">
        <f t="shared" si="43"/>
        <v>564342</v>
      </c>
      <c r="G202" s="460"/>
      <c r="H202" s="459">
        <f t="shared" si="43"/>
        <v>564342</v>
      </c>
      <c r="I202" s="460"/>
      <c r="J202" s="459">
        <v>757959</v>
      </c>
    </row>
    <row r="203" spans="1:10" ht="13.35" customHeight="1">
      <c r="A203" s="345" t="s">
        <v>3</v>
      </c>
      <c r="B203" s="346"/>
      <c r="C203" s="347" t="s">
        <v>4</v>
      </c>
      <c r="D203" s="450">
        <f t="shared" ref="D203:H203" si="44">D167+D48+D88+D202</f>
        <v>3448238</v>
      </c>
      <c r="E203" s="451"/>
      <c r="F203" s="450">
        <f t="shared" si="44"/>
        <v>3917034</v>
      </c>
      <c r="G203" s="451"/>
      <c r="H203" s="450">
        <f t="shared" si="44"/>
        <v>3895406</v>
      </c>
      <c r="I203" s="451"/>
      <c r="J203" s="450">
        <v>3188514</v>
      </c>
    </row>
    <row r="204" spans="1:10">
      <c r="A204" s="348" t="s">
        <v>3</v>
      </c>
      <c r="B204" s="349"/>
      <c r="C204" s="350" t="s">
        <v>1</v>
      </c>
      <c r="D204" s="444">
        <f t="shared" ref="D204:H204" si="45">D203</f>
        <v>3448238</v>
      </c>
      <c r="E204" s="445"/>
      <c r="F204" s="444">
        <f t="shared" si="45"/>
        <v>3917034</v>
      </c>
      <c r="G204" s="445"/>
      <c r="H204" s="444">
        <f t="shared" si="45"/>
        <v>3895406</v>
      </c>
      <c r="I204" s="445"/>
      <c r="J204" s="461">
        <v>3188514</v>
      </c>
    </row>
    <row r="205" spans="1:10">
      <c r="A205" s="351"/>
      <c r="B205" s="352"/>
      <c r="C205" s="353"/>
      <c r="D205" s="333"/>
      <c r="E205" s="354"/>
      <c r="F205" s="333"/>
      <c r="G205" s="354"/>
      <c r="H205" s="333"/>
      <c r="I205" s="354"/>
      <c r="J205" s="354"/>
    </row>
    <row r="206" spans="1:10">
      <c r="A206" s="351"/>
      <c r="B206" s="352"/>
      <c r="C206" s="353"/>
      <c r="D206" s="333"/>
      <c r="E206" s="333"/>
      <c r="F206" s="333"/>
      <c r="G206" s="333"/>
      <c r="H206" s="333"/>
      <c r="I206" s="333"/>
      <c r="J206" s="333"/>
    </row>
    <row r="207" spans="1:10">
      <c r="D207" s="356"/>
      <c r="E207" s="356"/>
      <c r="F207" s="356"/>
      <c r="G207" s="357"/>
      <c r="H207" s="357"/>
      <c r="I207" s="358"/>
    </row>
    <row r="208" spans="1:10">
      <c r="G208" s="359"/>
      <c r="H208" s="310"/>
      <c r="I208" s="318"/>
    </row>
    <row r="209" spans="3:10">
      <c r="C209" s="322"/>
      <c r="F209" s="387"/>
      <c r="G209" s="359"/>
      <c r="H209" s="310"/>
      <c r="I209" s="386"/>
    </row>
    <row r="210" spans="3:10">
      <c r="C210" s="322"/>
      <c r="F210" s="387"/>
      <c r="G210" s="359"/>
      <c r="H210" s="310"/>
      <c r="I210" s="387"/>
    </row>
    <row r="211" spans="3:10">
      <c r="C211" s="322"/>
      <c r="F211" s="387"/>
      <c r="G211" s="359"/>
      <c r="H211" s="310"/>
      <c r="I211" s="386"/>
    </row>
    <row r="212" spans="3:10">
      <c r="C212" s="322"/>
      <c r="F212" s="387"/>
      <c r="G212" s="359"/>
      <c r="H212" s="310"/>
      <c r="I212" s="386"/>
    </row>
    <row r="213" spans="3:10">
      <c r="C213" s="322"/>
      <c r="F213" s="387"/>
      <c r="G213" s="359"/>
      <c r="H213" s="310"/>
      <c r="I213" s="386"/>
    </row>
    <row r="214" spans="3:10">
      <c r="C214" s="322"/>
      <c r="F214" s="387"/>
      <c r="G214" s="359"/>
      <c r="H214" s="310"/>
      <c r="I214" s="386"/>
    </row>
    <row r="215" spans="3:10">
      <c r="C215" s="322"/>
      <c r="F215" s="387"/>
      <c r="G215" s="359"/>
      <c r="H215" s="310"/>
      <c r="I215" s="386"/>
    </row>
    <row r="216" spans="3:10">
      <c r="C216" s="322"/>
      <c r="G216" s="359"/>
      <c r="H216" s="310"/>
      <c r="I216" s="386"/>
    </row>
    <row r="217" spans="3:10">
      <c r="C217" s="322"/>
      <c r="F217" s="387"/>
      <c r="H217" s="310"/>
      <c r="I217" s="387"/>
    </row>
    <row r="218" spans="3:10">
      <c r="F218" s="387"/>
      <c r="G218" s="359"/>
      <c r="H218" s="310"/>
      <c r="I218" s="386"/>
    </row>
    <row r="219" spans="3:10">
      <c r="F219" s="387"/>
      <c r="G219" s="359"/>
      <c r="H219" s="310"/>
      <c r="I219" s="386"/>
    </row>
    <row r="220" spans="3:10">
      <c r="D220" s="328"/>
      <c r="E220" s="328"/>
      <c r="F220" s="328"/>
      <c r="G220" s="328"/>
      <c r="H220" s="328"/>
      <c r="I220" s="328"/>
      <c r="J220" s="328"/>
    </row>
    <row r="221" spans="3:10">
      <c r="D221" s="389"/>
      <c r="E221" s="389"/>
      <c r="F221" s="389"/>
      <c r="G221" s="389"/>
      <c r="H221" s="389"/>
      <c r="I221" s="389"/>
      <c r="J221" s="339"/>
    </row>
    <row r="222" spans="3:10">
      <c r="D222" s="328"/>
      <c r="E222" s="328"/>
      <c r="F222" s="328"/>
      <c r="G222" s="328"/>
      <c r="H222" s="328"/>
      <c r="I222" s="328"/>
      <c r="J222" s="328"/>
    </row>
  </sheetData>
  <autoFilter ref="A17:J205"/>
  <mergeCells count="3">
    <mergeCell ref="A1:J1"/>
    <mergeCell ref="A2:J2"/>
    <mergeCell ref="A4:D4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58" fitToHeight="14" orientation="landscape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"/>
  <dimension ref="A1:U42"/>
  <sheetViews>
    <sheetView zoomScale="55" zoomScaleNormal="55" zoomScaleSheetLayoutView="85" workbookViewId="0">
      <selection activeCell="M12" sqref="M12"/>
    </sheetView>
  </sheetViews>
  <sheetFormatPr defaultColWidth="9.33203125" defaultRowHeight="13.2"/>
  <cols>
    <col min="1" max="1" width="11.6640625" style="55" customWidth="1"/>
    <col min="2" max="2" width="25.6640625" style="55" customWidth="1"/>
    <col min="3" max="3" width="10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9.33203125" style="55" customWidth="1"/>
    <col min="10" max="11" width="10.5546875" style="55" bestFit="1" customWidth="1"/>
    <col min="12" max="12" width="9.44140625" style="55" bestFit="1" customWidth="1"/>
    <col min="13" max="13" width="10.554687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75"/>
    </row>
    <row r="6" spans="1:11">
      <c r="A6" s="68"/>
      <c r="B6" s="96" t="s">
        <v>200</v>
      </c>
      <c r="C6" s="118" t="s">
        <v>142</v>
      </c>
      <c r="D6" s="118" t="s">
        <v>201</v>
      </c>
      <c r="E6" s="118" t="s">
        <v>207</v>
      </c>
      <c r="F6" s="118" t="s">
        <v>202</v>
      </c>
      <c r="G6" s="118" t="s">
        <v>203</v>
      </c>
      <c r="H6" s="118" t="s">
        <v>3</v>
      </c>
      <c r="I6" s="115"/>
      <c r="J6" s="115"/>
      <c r="K6" s="75"/>
    </row>
    <row r="7" spans="1:11">
      <c r="A7" s="117" t="s">
        <v>212</v>
      </c>
      <c r="B7" s="118" t="s">
        <v>204</v>
      </c>
      <c r="C7" s="118">
        <v>680.81</v>
      </c>
      <c r="D7" s="118">
        <v>701.34</v>
      </c>
      <c r="E7" s="118">
        <v>718.61</v>
      </c>
      <c r="F7" s="118">
        <v>731.69</v>
      </c>
      <c r="G7" s="118">
        <v>739.41</v>
      </c>
      <c r="H7" s="118">
        <f>SUM(C7:G7)</f>
        <v>3571.86</v>
      </c>
      <c r="I7" s="115"/>
      <c r="J7" s="115"/>
      <c r="K7" s="75"/>
    </row>
    <row r="8" spans="1:11">
      <c r="A8" s="117" t="s">
        <v>213</v>
      </c>
      <c r="B8" s="118" t="s">
        <v>205</v>
      </c>
      <c r="C8" s="118">
        <v>317.19</v>
      </c>
      <c r="D8" s="118">
        <v>328.02</v>
      </c>
      <c r="E8" s="118">
        <v>337.62</v>
      </c>
      <c r="F8" s="118">
        <v>345.59</v>
      </c>
      <c r="G8" s="118">
        <v>351.47</v>
      </c>
      <c r="H8" s="118">
        <f>SUM(C8:G8)</f>
        <v>1679.89</v>
      </c>
      <c r="I8" s="115"/>
      <c r="J8" s="115"/>
      <c r="K8" s="75"/>
    </row>
    <row r="9" spans="1:11">
      <c r="A9" s="117"/>
      <c r="B9" s="118" t="s">
        <v>206</v>
      </c>
      <c r="C9" s="118">
        <v>195.92</v>
      </c>
      <c r="D9" s="118">
        <v>195.43</v>
      </c>
      <c r="E9" s="118">
        <v>192.58</v>
      </c>
      <c r="F9" s="118">
        <v>186.84</v>
      </c>
      <c r="G9" s="118">
        <v>177.59</v>
      </c>
      <c r="H9" s="118">
        <f>SUM(C9:G9)</f>
        <v>948.36000000000013</v>
      </c>
      <c r="I9" s="115"/>
      <c r="J9" s="115"/>
      <c r="K9" s="75"/>
    </row>
    <row r="10" spans="1:11">
      <c r="A10" s="117"/>
      <c r="B10" s="118" t="s">
        <v>3</v>
      </c>
      <c r="C10" s="118">
        <f t="shared" ref="C10:H10" si="0">SUM(C7:C9)</f>
        <v>1193.92</v>
      </c>
      <c r="D10" s="118">
        <f t="shared" si="0"/>
        <v>1224.7900000000002</v>
      </c>
      <c r="E10" s="118">
        <f t="shared" si="0"/>
        <v>1248.81</v>
      </c>
      <c r="F10" s="118">
        <f t="shared" si="0"/>
        <v>1264.1199999999999</v>
      </c>
      <c r="G10" s="118">
        <f t="shared" si="0"/>
        <v>1268.47</v>
      </c>
      <c r="H10" s="118">
        <f t="shared" si="0"/>
        <v>6200.1100000000006</v>
      </c>
      <c r="I10" s="115"/>
      <c r="J10" s="115"/>
      <c r="K10" s="75"/>
    </row>
    <row r="11" spans="1:11">
      <c r="A11" s="117"/>
      <c r="B11" s="115"/>
      <c r="C11" s="115"/>
      <c r="D11" s="115"/>
      <c r="E11" s="115"/>
      <c r="F11" s="115"/>
      <c r="G11" s="115"/>
      <c r="H11" s="115"/>
      <c r="I11" s="115"/>
      <c r="J11" s="115"/>
      <c r="K11" s="75"/>
    </row>
    <row r="12" spans="1:11">
      <c r="A12" s="116"/>
      <c r="B12" s="115"/>
      <c r="C12" s="115"/>
      <c r="D12" s="115"/>
      <c r="E12" s="115"/>
      <c r="F12" s="115"/>
      <c r="G12" s="115"/>
      <c r="H12" s="115"/>
      <c r="I12" s="115"/>
      <c r="J12" s="115"/>
      <c r="K12" s="75"/>
    </row>
    <row r="13" spans="1:11">
      <c r="A13" s="514" t="s">
        <v>169</v>
      </c>
      <c r="B13" s="119" t="s">
        <v>168</v>
      </c>
      <c r="C13" s="120">
        <v>70</v>
      </c>
      <c r="D13" s="120" t="s">
        <v>103</v>
      </c>
      <c r="E13" s="515" t="s">
        <v>167</v>
      </c>
      <c r="F13" s="515"/>
      <c r="G13" s="515"/>
      <c r="H13" s="515"/>
      <c r="I13" s="515"/>
      <c r="K13" s="75"/>
    </row>
    <row r="14" spans="1:11">
      <c r="A14" s="514"/>
      <c r="B14" s="119" t="s">
        <v>166</v>
      </c>
      <c r="C14" s="120">
        <v>30</v>
      </c>
      <c r="D14" s="120" t="s">
        <v>103</v>
      </c>
      <c r="E14" s="515"/>
      <c r="F14" s="515"/>
      <c r="G14" s="515"/>
      <c r="H14" s="515"/>
      <c r="I14" s="515"/>
      <c r="K14" s="75"/>
    </row>
    <row r="15" spans="1:11">
      <c r="A15" s="80"/>
      <c r="B15" s="79"/>
      <c r="C15" s="78"/>
      <c r="D15" s="78"/>
      <c r="E15" s="78"/>
      <c r="F15" s="78"/>
      <c r="G15" s="78"/>
      <c r="H15" s="78"/>
      <c r="I15" s="78"/>
      <c r="J15" s="78"/>
      <c r="K15" s="75"/>
    </row>
    <row r="16" spans="1:11">
      <c r="A16" s="504" t="s">
        <v>165</v>
      </c>
      <c r="B16" s="505"/>
      <c r="C16" s="505"/>
      <c r="D16" s="505"/>
      <c r="E16" s="505"/>
      <c r="F16" s="505"/>
      <c r="G16" s="505"/>
      <c r="H16" s="505"/>
      <c r="I16" s="505"/>
      <c r="J16" s="505"/>
      <c r="K16" s="75"/>
    </row>
    <row r="17" spans="1:21">
      <c r="A17" s="84"/>
      <c r="B17" s="83"/>
      <c r="C17" s="82"/>
      <c r="D17" s="82"/>
      <c r="E17" s="82"/>
      <c r="F17" s="82"/>
      <c r="G17" s="82"/>
      <c r="H17" s="82"/>
      <c r="I17" s="82"/>
      <c r="J17" s="81"/>
      <c r="K17" s="75"/>
    </row>
    <row r="18" spans="1:21">
      <c r="D18" s="62"/>
      <c r="E18" s="62"/>
      <c r="J18" s="62"/>
      <c r="K18" s="62"/>
    </row>
    <row r="19" spans="1:21" ht="25.5" customHeight="1">
      <c r="B19" s="69"/>
      <c r="C19" s="485" t="s">
        <v>195</v>
      </c>
      <c r="D19" s="485"/>
      <c r="E19" s="485" t="s">
        <v>194</v>
      </c>
      <c r="F19" s="485"/>
      <c r="G19" s="516" t="s">
        <v>66</v>
      </c>
      <c r="H19" s="516"/>
      <c r="I19" s="516" t="s">
        <v>67</v>
      </c>
      <c r="J19" s="516"/>
      <c r="K19" s="517" t="s">
        <v>68</v>
      </c>
      <c r="L19" s="517"/>
      <c r="M19" s="516" t="s">
        <v>69</v>
      </c>
      <c r="N19" s="516"/>
      <c r="O19" s="516" t="s">
        <v>70</v>
      </c>
      <c r="P19" s="516"/>
      <c r="Q19" s="516" t="s">
        <v>71</v>
      </c>
      <c r="R19" s="516"/>
      <c r="S19" s="516" t="s">
        <v>72</v>
      </c>
      <c r="T19" s="516"/>
      <c r="U19" s="69" t="s">
        <v>3</v>
      </c>
    </row>
    <row r="20" spans="1:21">
      <c r="B20" s="69" t="s">
        <v>208</v>
      </c>
      <c r="C20" s="95" t="s">
        <v>210</v>
      </c>
      <c r="D20" s="95" t="s">
        <v>209</v>
      </c>
      <c r="E20" s="95" t="s">
        <v>210</v>
      </c>
      <c r="F20" s="95" t="s">
        <v>209</v>
      </c>
      <c r="G20" s="95" t="s">
        <v>210</v>
      </c>
      <c r="H20" s="95" t="s">
        <v>209</v>
      </c>
      <c r="I20" s="95" t="s">
        <v>210</v>
      </c>
      <c r="J20" s="95" t="s">
        <v>209</v>
      </c>
      <c r="K20" s="95" t="s">
        <v>210</v>
      </c>
      <c r="L20" s="95" t="s">
        <v>209</v>
      </c>
      <c r="M20" s="95" t="s">
        <v>210</v>
      </c>
      <c r="N20" s="95" t="s">
        <v>209</v>
      </c>
      <c r="O20" s="95" t="s">
        <v>210</v>
      </c>
      <c r="P20" s="95" t="s">
        <v>209</v>
      </c>
      <c r="Q20" s="95" t="s">
        <v>210</v>
      </c>
      <c r="R20" s="95" t="s">
        <v>209</v>
      </c>
      <c r="S20" s="95" t="s">
        <v>210</v>
      </c>
      <c r="T20" s="95" t="s">
        <v>209</v>
      </c>
      <c r="U20" s="69"/>
    </row>
    <row r="21" spans="1:21">
      <c r="B21" s="118" t="s">
        <v>142</v>
      </c>
      <c r="C21" s="69">
        <f>C7</f>
        <v>680.81</v>
      </c>
      <c r="D21" s="95" t="s">
        <v>211</v>
      </c>
      <c r="E21" s="113">
        <f>C8</f>
        <v>317.19</v>
      </c>
      <c r="F21" s="95" t="s">
        <v>211</v>
      </c>
      <c r="G21" s="57">
        <f>C9*D34/100</f>
        <v>129.77662395998163</v>
      </c>
      <c r="H21" s="57"/>
      <c r="I21" s="57">
        <f>C9*D35/100</f>
        <v>9.0304609259353761</v>
      </c>
      <c r="J21" s="121"/>
      <c r="K21" s="121">
        <f>C9*D36/100</f>
        <v>17.120873870654894</v>
      </c>
      <c r="L21" s="57"/>
      <c r="M21" s="57">
        <f>C9*D37/100</f>
        <v>15.230777397784696</v>
      </c>
      <c r="N21" s="57"/>
      <c r="O21" s="57">
        <f>C9*D38/100</f>
        <v>12.000612526159971</v>
      </c>
      <c r="P21" s="57"/>
      <c r="Q21" s="57">
        <f>C9*D39/100</f>
        <v>6.7603450564034508</v>
      </c>
      <c r="R21" s="57"/>
      <c r="S21" s="57">
        <f>C9*D40/100</f>
        <v>6.0003062630799855</v>
      </c>
      <c r="T21" s="69"/>
      <c r="U21" s="69">
        <f>SUM(C21:T21)</f>
        <v>1193.9199999999998</v>
      </c>
    </row>
    <row r="22" spans="1:21">
      <c r="B22" s="118" t="s">
        <v>201</v>
      </c>
      <c r="C22" s="57">
        <f>D7*0.7</f>
        <v>490.93799999999999</v>
      </c>
      <c r="D22" s="121">
        <f>D7-C22</f>
        <v>210.40200000000004</v>
      </c>
      <c r="E22" s="113">
        <f>D8*0.7</f>
        <v>229.61399999999998</v>
      </c>
      <c r="F22" s="69">
        <f>D8-E22</f>
        <v>98.406000000000006</v>
      </c>
      <c r="G22" s="57">
        <f>D9*0.7*D34/100</f>
        <v>90.616434944617424</v>
      </c>
      <c r="H22" s="69">
        <f>D9*0.3*G34/100</f>
        <v>38.835961617195487</v>
      </c>
      <c r="I22" s="69">
        <f>D9*0.7*D35/100</f>
        <v>6.3055128885712817</v>
      </c>
      <c r="J22" s="113">
        <f>D9*0.3*G35/100</f>
        <v>2.7004145342886385</v>
      </c>
      <c r="K22" s="113">
        <f>D9*0.7*D36/100</f>
        <v>11.954637945995609</v>
      </c>
      <c r="L22" s="69">
        <f>D9*0.3*G36/100</f>
        <v>5.1207860798362335</v>
      </c>
      <c r="M22" s="69">
        <f>D9*0.7*D37/100</f>
        <v>10.634879434434179</v>
      </c>
      <c r="N22" s="69">
        <f>D9*0.3*G37/100</f>
        <v>4.5607001023541445</v>
      </c>
      <c r="O22" s="69">
        <f>D9*0.7*D38/100</f>
        <v>8.3794191210249611</v>
      </c>
      <c r="P22" s="69">
        <f>D9*0.3*G38/100</f>
        <v>3.5905511770726712</v>
      </c>
      <c r="Q22" s="69">
        <f>D9*0.7*D39/100</f>
        <v>4.7204061048440611</v>
      </c>
      <c r="R22" s="69">
        <f>D9*0.3*G39/100</f>
        <v>2.0203101330603888</v>
      </c>
      <c r="S22" s="69">
        <f>D9*0.7*D40/100</f>
        <v>4.1897095605124806</v>
      </c>
      <c r="T22" s="69">
        <f>D9*0.3*G40/100</f>
        <v>1.8002763561924258</v>
      </c>
      <c r="U22" s="69">
        <f>SUM(C22:T22)</f>
        <v>1224.7899999999995</v>
      </c>
    </row>
    <row r="23" spans="1:21">
      <c r="B23" s="118" t="s">
        <v>207</v>
      </c>
      <c r="C23" s="57">
        <f>E7*0.7</f>
        <v>503.02699999999999</v>
      </c>
      <c r="D23" s="121">
        <f>E7-C23</f>
        <v>215.58300000000003</v>
      </c>
      <c r="E23" s="113">
        <f>E8*0.7</f>
        <v>236.33399999999997</v>
      </c>
      <c r="F23" s="69">
        <f>E8-E23</f>
        <v>101.28600000000003</v>
      </c>
      <c r="G23" s="57">
        <f>E9*0.7*D34/100</f>
        <v>89.294954928283417</v>
      </c>
      <c r="H23" s="69">
        <f>E9*0.3*G34/100</f>
        <v>38.269607983623331</v>
      </c>
      <c r="I23" s="57">
        <f>E9*0.7*G35/100</f>
        <v>6.2090788126919145</v>
      </c>
      <c r="J23" s="113">
        <f>E9*0.3*G35/100</f>
        <v>2.6610337768679631</v>
      </c>
      <c r="K23" s="113">
        <f>E9*0.7*D36/100</f>
        <v>11.780300750344548</v>
      </c>
      <c r="L23" s="69">
        <f>E9*0.3*G36/100</f>
        <v>5.0461084953940647</v>
      </c>
      <c r="M23" s="69">
        <f>E9*0.7*D37/100</f>
        <v>10.479788576387115</v>
      </c>
      <c r="N23" s="69">
        <f>E9*0.3*G37/100</f>
        <v>4.4941903787103374</v>
      </c>
      <c r="O23" s="69">
        <f>E9*0.7*D38/100</f>
        <v>8.2572201521106638</v>
      </c>
      <c r="P23" s="69">
        <f>E9*0.3*G38/100</f>
        <v>3.5381893551688841</v>
      </c>
      <c r="Q23" s="69">
        <f>E9*0.7*D39/100</f>
        <v>4.6515673523556735</v>
      </c>
      <c r="R23" s="69">
        <f>E9*0.3*G39/100</f>
        <v>1.9908474923234392</v>
      </c>
      <c r="S23" s="69">
        <f>E9*0.7*D40/100</f>
        <v>4.1286100760553319</v>
      </c>
      <c r="T23" s="69">
        <f>E9*0.3*G40/100</f>
        <v>1.7740225179119755</v>
      </c>
      <c r="U23" s="69">
        <f>SUM(C23:T23)</f>
        <v>1248.8055206482286</v>
      </c>
    </row>
    <row r="24" spans="1:21">
      <c r="B24" s="118" t="s">
        <v>202</v>
      </c>
      <c r="C24" s="57">
        <f>F7*0.7</f>
        <v>512.18299999999999</v>
      </c>
      <c r="D24" s="121">
        <f>F7-C24</f>
        <v>219.50700000000006</v>
      </c>
      <c r="E24" s="113">
        <f>F8*0.7</f>
        <v>241.91299999999995</v>
      </c>
      <c r="F24" s="69">
        <f>F8-E24</f>
        <v>103.67700000000002</v>
      </c>
      <c r="G24" s="57">
        <f>F9*0.7*D34/100</f>
        <v>86.633447807666784</v>
      </c>
      <c r="H24" s="69">
        <f>F9*0.3*G34/100</f>
        <v>37.128951893551687</v>
      </c>
      <c r="I24" s="57">
        <f>F9*0.7*G35/100</f>
        <v>6.0240122824974405</v>
      </c>
      <c r="J24" s="113">
        <f>F9*0.3*G35/100</f>
        <v>2.5817195496417606</v>
      </c>
      <c r="K24" s="113">
        <f>F9*0.7*D36/100</f>
        <v>11.429179521208718</v>
      </c>
      <c r="L24" s="69">
        <f>F9*0.3*G36/100</f>
        <v>4.8957052200614131</v>
      </c>
      <c r="M24" s="69">
        <f>F9*0.7*D37/100</f>
        <v>10.167430146495839</v>
      </c>
      <c r="N24" s="69">
        <f>F9*0.3*G37/100</f>
        <v>4.3602374616171948</v>
      </c>
      <c r="O24" s="69">
        <f>F9*0.7*D38/100</f>
        <v>8.0111071410341488</v>
      </c>
      <c r="P24" s="69">
        <f>F9*0.3*G38/100</f>
        <v>3.4327308085977482</v>
      </c>
      <c r="Q24" s="69">
        <f>F9*0.7*D39/100</f>
        <v>4.5129236894492371</v>
      </c>
      <c r="R24" s="69">
        <f>F9*0.3*G39/100</f>
        <v>1.9315087001023539</v>
      </c>
      <c r="S24" s="69">
        <f>F9*0.7*D40/100</f>
        <v>4.0055535705170744</v>
      </c>
      <c r="T24" s="69">
        <f>F9*0.3*G40/100</f>
        <v>1.7211463664278404</v>
      </c>
      <c r="U24" s="69">
        <f>SUM(C24:T24)</f>
        <v>1264.1156541588696</v>
      </c>
    </row>
    <row r="25" spans="1:21">
      <c r="B25" s="118" t="s">
        <v>203</v>
      </c>
      <c r="C25" s="57">
        <f>G7*0.7</f>
        <v>517.58699999999999</v>
      </c>
      <c r="D25" s="121">
        <f>G7-C25</f>
        <v>221.82299999999998</v>
      </c>
      <c r="E25" s="113">
        <f>G8*0.7</f>
        <v>246.029</v>
      </c>
      <c r="F25" s="69">
        <f>G8-E25</f>
        <v>105.44100000000003</v>
      </c>
      <c r="G25" s="57">
        <f>G9*0.7*D34/100</f>
        <v>82.344433719565117</v>
      </c>
      <c r="H25" s="69">
        <f>G9*0.3*G34/100</f>
        <v>35.29078659160696</v>
      </c>
      <c r="I25" s="57">
        <f>G9*0.7*G35/100</f>
        <v>5.7257778915046051</v>
      </c>
      <c r="J25" s="113">
        <f>G9*0.3*G35/100</f>
        <v>2.4539048106448309</v>
      </c>
      <c r="K25" s="113">
        <f>G9*0.7*D36/100</f>
        <v>10.863348272165791</v>
      </c>
      <c r="L25" s="69">
        <f>G9*0.3*G36/100</f>
        <v>4.653330603889458</v>
      </c>
      <c r="M25" s="69">
        <f>G9*0.7*D37/100</f>
        <v>9.6640650809044963</v>
      </c>
      <c r="N25" s="69">
        <f>G9*0.3*G37/100</f>
        <v>4.1443725690890476</v>
      </c>
      <c r="O25" s="69">
        <f>G9*0.7*D38/100</f>
        <v>7.6144964524526566</v>
      </c>
      <c r="P25" s="69">
        <f>G9*0.3*G38/100</f>
        <v>3.2627845445240529</v>
      </c>
      <c r="Q25" s="69">
        <f>G9*0.7*D39/100</f>
        <v>4.2894996682149964</v>
      </c>
      <c r="R25" s="69">
        <f>G9*0.3*G39/100</f>
        <v>1.8358843398157625</v>
      </c>
      <c r="S25" s="69">
        <f>G9*0.7*D40/100</f>
        <v>3.8072482262263283</v>
      </c>
      <c r="T25" s="69">
        <f>G9*0.3*G40/100</f>
        <v>1.6359365404298876</v>
      </c>
      <c r="U25" s="69">
        <f>SUM(C25:T25)</f>
        <v>1268.4658693110339</v>
      </c>
    </row>
    <row r="26" spans="1:21">
      <c r="B26" s="118" t="s">
        <v>3</v>
      </c>
      <c r="C26" s="57">
        <f>SUM(C21:C25)</f>
        <v>2704.5450000000001</v>
      </c>
      <c r="D26" s="57">
        <f t="shared" ref="D26:U26" si="1">SUM(D21:D25)</f>
        <v>867.31500000000017</v>
      </c>
      <c r="E26" s="57">
        <f t="shared" si="1"/>
        <v>1271.08</v>
      </c>
      <c r="F26" s="57">
        <f t="shared" si="1"/>
        <v>408.81000000000006</v>
      </c>
      <c r="G26" s="57">
        <f t="shared" si="1"/>
        <v>478.6658953601144</v>
      </c>
      <c r="H26" s="57">
        <f t="shared" si="1"/>
        <v>149.52530808597749</v>
      </c>
      <c r="I26" s="57">
        <f t="shared" si="1"/>
        <v>33.294842801200616</v>
      </c>
      <c r="J26" s="57">
        <f t="shared" si="1"/>
        <v>10.397072671443194</v>
      </c>
      <c r="K26" s="57">
        <f t="shared" si="1"/>
        <v>63.148340360369559</v>
      </c>
      <c r="L26" s="57">
        <f t="shared" si="1"/>
        <v>19.715930399181168</v>
      </c>
      <c r="M26" s="57">
        <f t="shared" si="1"/>
        <v>56.176940636006321</v>
      </c>
      <c r="N26" s="57">
        <f t="shared" si="1"/>
        <v>17.559500511770725</v>
      </c>
      <c r="O26" s="57">
        <f t="shared" si="1"/>
        <v>44.262855392782399</v>
      </c>
      <c r="P26" s="57">
        <f t="shared" si="1"/>
        <v>13.824255885363357</v>
      </c>
      <c r="Q26" s="57">
        <f t="shared" si="1"/>
        <v>24.93474187126742</v>
      </c>
      <c r="R26" s="57">
        <f t="shared" si="1"/>
        <v>7.7785506653019443</v>
      </c>
      <c r="S26" s="57">
        <f t="shared" si="1"/>
        <v>22.131427696391199</v>
      </c>
      <c r="T26" s="57">
        <f t="shared" si="1"/>
        <v>6.9313817809621288</v>
      </c>
      <c r="U26" s="57">
        <f t="shared" si="1"/>
        <v>6200.0970441181316</v>
      </c>
    </row>
    <row r="27" spans="1:21">
      <c r="D27" s="62"/>
      <c r="E27" s="62"/>
      <c r="J27" s="62"/>
      <c r="K27" s="62"/>
    </row>
    <row r="28" spans="1:21">
      <c r="D28" s="62"/>
      <c r="E28" s="62"/>
      <c r="J28" s="62"/>
      <c r="K28" s="62"/>
    </row>
    <row r="29" spans="1:21">
      <c r="D29" s="62"/>
      <c r="E29" s="62"/>
      <c r="J29" s="62"/>
      <c r="K29" s="62"/>
    </row>
    <row r="31" spans="1:21">
      <c r="B31" s="94" t="s">
        <v>188</v>
      </c>
      <c r="C31" s="69"/>
      <c r="D31" s="69"/>
      <c r="E31" s="69"/>
      <c r="F31" s="69"/>
      <c r="G31" s="69"/>
    </row>
    <row r="32" spans="1:21">
      <c r="B32" s="94" t="s">
        <v>143</v>
      </c>
      <c r="C32" s="69" t="s">
        <v>189</v>
      </c>
      <c r="D32" s="69"/>
      <c r="E32" s="69"/>
      <c r="F32" s="69" t="s">
        <v>190</v>
      </c>
      <c r="G32" s="69"/>
    </row>
    <row r="33" spans="2:7">
      <c r="B33" s="59"/>
      <c r="C33" s="57" t="s">
        <v>142</v>
      </c>
      <c r="D33" s="56" t="s">
        <v>191</v>
      </c>
      <c r="E33" s="69"/>
      <c r="F33" s="69" t="s">
        <v>201</v>
      </c>
      <c r="G33" s="69" t="s">
        <v>191</v>
      </c>
    </row>
    <row r="34" spans="2:7">
      <c r="B34" s="59" t="s">
        <v>66</v>
      </c>
      <c r="C34" s="57">
        <v>129.77000000000001</v>
      </c>
      <c r="D34" s="57">
        <f>C34/$C$41*100</f>
        <v>66.239599816242162</v>
      </c>
      <c r="E34" s="69"/>
      <c r="F34" s="69">
        <v>38.83</v>
      </c>
      <c r="G34" s="57">
        <f>F34/$F$41*100</f>
        <v>66.2401910610713</v>
      </c>
    </row>
    <row r="35" spans="2:7">
      <c r="B35" s="60" t="s">
        <v>67</v>
      </c>
      <c r="C35" s="57">
        <v>9.0299999999999994</v>
      </c>
      <c r="D35" s="57">
        <f t="shared" ref="D35:D40" si="2">C35/$C$41*100</f>
        <v>4.6092593537849007</v>
      </c>
      <c r="E35" s="69"/>
      <c r="F35" s="69">
        <v>2.7</v>
      </c>
      <c r="G35" s="57">
        <f t="shared" ref="G35:G40" si="3">F35/$F$41*100</f>
        <v>4.6059365404298873</v>
      </c>
    </row>
    <row r="36" spans="2:7">
      <c r="B36" s="59" t="s">
        <v>68</v>
      </c>
      <c r="C36" s="57">
        <v>17.12</v>
      </c>
      <c r="D36" s="57">
        <f t="shared" si="2"/>
        <v>8.7387065489255278</v>
      </c>
      <c r="E36" s="69"/>
      <c r="F36" s="69">
        <v>5.12</v>
      </c>
      <c r="G36" s="57">
        <f t="shared" si="3"/>
        <v>8.7342204025929728</v>
      </c>
    </row>
    <row r="37" spans="2:7">
      <c r="B37" s="59" t="s">
        <v>69</v>
      </c>
      <c r="C37" s="57">
        <v>15.23</v>
      </c>
      <c r="D37" s="57">
        <f t="shared" si="2"/>
        <v>7.7739778469705474</v>
      </c>
      <c r="E37" s="69"/>
      <c r="F37" s="69">
        <v>4.5599999999999996</v>
      </c>
      <c r="G37" s="57">
        <f t="shared" si="3"/>
        <v>7.7789150460593648</v>
      </c>
    </row>
    <row r="38" spans="2:7">
      <c r="B38" s="59" t="s">
        <v>70</v>
      </c>
      <c r="C38" s="57">
        <v>12</v>
      </c>
      <c r="D38" s="57">
        <f t="shared" si="2"/>
        <v>6.1252615997141548</v>
      </c>
      <c r="E38" s="69"/>
      <c r="F38" s="69">
        <v>3.59</v>
      </c>
      <c r="G38" s="57">
        <f t="shared" si="3"/>
        <v>6.1241896963493687</v>
      </c>
    </row>
    <row r="39" spans="2:7">
      <c r="B39" s="59" t="s">
        <v>71</v>
      </c>
      <c r="C39" s="57">
        <v>6.76</v>
      </c>
      <c r="D39" s="57">
        <f t="shared" si="2"/>
        <v>3.4505640345056405</v>
      </c>
      <c r="E39" s="69"/>
      <c r="F39" s="69">
        <v>2.02</v>
      </c>
      <c r="G39" s="57">
        <f t="shared" si="3"/>
        <v>3.4459228932105082</v>
      </c>
    </row>
    <row r="40" spans="2:7">
      <c r="B40" s="58" t="s">
        <v>72</v>
      </c>
      <c r="C40" s="57">
        <v>6</v>
      </c>
      <c r="D40" s="57">
        <f t="shared" si="2"/>
        <v>3.0626307998570774</v>
      </c>
      <c r="E40" s="69"/>
      <c r="F40" s="69">
        <v>1.8</v>
      </c>
      <c r="G40" s="57">
        <f t="shared" si="3"/>
        <v>3.0706243602865917</v>
      </c>
    </row>
    <row r="41" spans="2:7">
      <c r="B41" s="69" t="s">
        <v>64</v>
      </c>
      <c r="C41" s="69">
        <v>195.91</v>
      </c>
      <c r="D41" s="69">
        <v>100</v>
      </c>
      <c r="E41" s="69"/>
      <c r="F41" s="69">
        <v>58.62</v>
      </c>
      <c r="G41" s="69">
        <v>100</v>
      </c>
    </row>
    <row r="42" spans="2:7">
      <c r="B42" s="55" t="s">
        <v>192</v>
      </c>
      <c r="F42" s="55" t="s">
        <v>193</v>
      </c>
    </row>
  </sheetData>
  <mergeCells count="14">
    <mergeCell ref="O19:P19"/>
    <mergeCell ref="Q19:R19"/>
    <mergeCell ref="S19:T19"/>
    <mergeCell ref="C19:D19"/>
    <mergeCell ref="E19:F19"/>
    <mergeCell ref="G19:H19"/>
    <mergeCell ref="I19:J19"/>
    <mergeCell ref="K19:L19"/>
    <mergeCell ref="M19:N19"/>
    <mergeCell ref="A1:K1"/>
    <mergeCell ref="A3:A4"/>
    <mergeCell ref="A13:A14"/>
    <mergeCell ref="E13:I14"/>
    <mergeCell ref="A16:J16"/>
  </mergeCells>
  <pageMargins left="0.75" right="0.75" top="1" bottom="1" header="0.5" footer="0.5"/>
  <pageSetup scale="95" orientation="landscape" r:id="rId1"/>
  <headerFooter alignWithMargins="0"/>
  <colBreaks count="1" manualBreakCount="1">
    <brk id="13" max="4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"/>
  <dimension ref="A1:Q154"/>
  <sheetViews>
    <sheetView view="pageBreakPreview" zoomScaleSheetLayoutView="100" workbookViewId="0">
      <selection activeCell="S14" sqref="S14"/>
    </sheetView>
  </sheetViews>
  <sheetFormatPr defaultColWidth="9.33203125" defaultRowHeight="13.2"/>
  <cols>
    <col min="1" max="1" width="4.6640625" style="12" customWidth="1"/>
    <col min="2" max="2" width="6.6640625" style="13" customWidth="1"/>
    <col min="3" max="3" width="5.6640625" style="23" customWidth="1"/>
    <col min="4" max="4" width="6.33203125" style="23" customWidth="1"/>
    <col min="5" max="5" width="5.6640625" style="24" customWidth="1"/>
    <col min="6" max="7" width="5.6640625" style="17" customWidth="1"/>
    <col min="8" max="8" width="8.6640625" style="25" customWidth="1"/>
    <col min="9" max="13" width="8.6640625" style="17" customWidth="1"/>
    <col min="14" max="17" width="8.6640625" style="18" customWidth="1"/>
    <col min="18" max="16384" width="9.33203125" style="18"/>
  </cols>
  <sheetData>
    <row r="1" spans="1:17" ht="15.6">
      <c r="A1" s="519" t="s">
        <v>98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17" ht="15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5.6">
      <c r="A3" s="520" t="s">
        <v>100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5.6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>
      <c r="Q5" s="2" t="s">
        <v>101</v>
      </c>
    </row>
    <row r="6" spans="1:17" ht="16.2" customHeight="1">
      <c r="A6" s="528" t="s">
        <v>141</v>
      </c>
      <c r="B6" s="524" t="s">
        <v>94</v>
      </c>
      <c r="C6" s="524"/>
      <c r="D6" s="524"/>
      <c r="E6" s="524"/>
      <c r="F6" s="524"/>
      <c r="G6" s="524"/>
      <c r="H6" s="525" t="s">
        <v>95</v>
      </c>
      <c r="I6" s="526"/>
      <c r="J6" s="526"/>
      <c r="K6" s="526"/>
      <c r="L6" s="527"/>
      <c r="M6" s="525" t="s">
        <v>93</v>
      </c>
      <c r="N6" s="526"/>
      <c r="O6" s="526"/>
      <c r="P6" s="526"/>
      <c r="Q6" s="527"/>
    </row>
    <row r="7" spans="1:17" ht="13.8">
      <c r="A7" s="529"/>
      <c r="B7" s="46" t="s">
        <v>12</v>
      </c>
      <c r="C7" s="47" t="s">
        <v>75</v>
      </c>
      <c r="D7" s="47" t="s">
        <v>12</v>
      </c>
      <c r="E7" s="48" t="s">
        <v>77</v>
      </c>
      <c r="F7" s="47" t="s">
        <v>76</v>
      </c>
      <c r="G7" s="47" t="s">
        <v>78</v>
      </c>
      <c r="H7" s="49" t="s">
        <v>89</v>
      </c>
      <c r="I7" s="49" t="s">
        <v>90</v>
      </c>
      <c r="J7" s="49" t="s">
        <v>91</v>
      </c>
      <c r="K7" s="49" t="s">
        <v>92</v>
      </c>
      <c r="L7" s="49" t="s">
        <v>64</v>
      </c>
      <c r="M7" s="49" t="s">
        <v>89</v>
      </c>
      <c r="N7" s="49" t="s">
        <v>90</v>
      </c>
      <c r="O7" s="49" t="s">
        <v>91</v>
      </c>
      <c r="P7" s="49" t="s">
        <v>92</v>
      </c>
      <c r="Q7" s="49" t="s">
        <v>64</v>
      </c>
    </row>
    <row r="8" spans="1:17" ht="41.4" hidden="1">
      <c r="A8" s="4"/>
      <c r="B8" s="4"/>
      <c r="C8" s="35" t="s">
        <v>96</v>
      </c>
      <c r="D8" s="35"/>
      <c r="E8" s="35"/>
      <c r="F8" s="35"/>
      <c r="G8" s="35"/>
      <c r="H8" s="145">
        <v>33.999427939621192</v>
      </c>
      <c r="I8" s="145">
        <v>27.998856840688397</v>
      </c>
      <c r="J8" s="145">
        <v>9.0022872800692237</v>
      </c>
      <c r="K8" s="145">
        <v>28.999427939621192</v>
      </c>
      <c r="L8" s="147">
        <f>SUM(H8:K8)</f>
        <v>100</v>
      </c>
      <c r="M8" s="145">
        <v>33.665795454545453</v>
      </c>
      <c r="N8" s="145">
        <v>28.767159090909093</v>
      </c>
      <c r="O8" s="145">
        <v>10.032159090909092</v>
      </c>
      <c r="P8" s="145">
        <v>27.534886363636364</v>
      </c>
      <c r="Q8" s="147">
        <f>SUM(M8:P8)</f>
        <v>100</v>
      </c>
    </row>
    <row r="9" spans="1:17" ht="13.8">
      <c r="A9" s="125">
        <v>1</v>
      </c>
      <c r="B9" s="36">
        <v>2202</v>
      </c>
      <c r="C9" s="26" t="s">
        <v>73</v>
      </c>
      <c r="D9" s="26" t="s">
        <v>79</v>
      </c>
      <c r="E9" s="26" t="s">
        <v>82</v>
      </c>
      <c r="F9" s="26" t="s">
        <v>84</v>
      </c>
      <c r="G9" s="26" t="s">
        <v>115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20"/>
      <c r="O9" s="126">
        <v>0</v>
      </c>
      <c r="P9" s="126">
        <v>0</v>
      </c>
      <c r="Q9" s="22">
        <f>SUM(M9:P9)</f>
        <v>0</v>
      </c>
    </row>
    <row r="10" spans="1:17" ht="13.8">
      <c r="A10" s="125">
        <v>2</v>
      </c>
      <c r="B10" s="36">
        <v>2202</v>
      </c>
      <c r="C10" s="26" t="s">
        <v>73</v>
      </c>
      <c r="D10" s="26" t="s">
        <v>79</v>
      </c>
      <c r="E10" s="26" t="s">
        <v>87</v>
      </c>
      <c r="F10" s="26" t="s">
        <v>83</v>
      </c>
      <c r="G10" s="26" t="s">
        <v>115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20">
        <v>177897</v>
      </c>
      <c r="N10" s="126">
        <v>0</v>
      </c>
      <c r="O10" s="126">
        <v>0</v>
      </c>
      <c r="P10" s="126">
        <v>0</v>
      </c>
      <c r="Q10" s="22">
        <f t="shared" ref="Q10:Q17" si="0">SUM(M10:P10)</f>
        <v>177897</v>
      </c>
    </row>
    <row r="11" spans="1:17" ht="13.8">
      <c r="A11" s="125">
        <v>3</v>
      </c>
      <c r="B11" s="36">
        <v>2202</v>
      </c>
      <c r="C11" s="26" t="s">
        <v>73</v>
      </c>
      <c r="D11" s="26" t="s">
        <v>79</v>
      </c>
      <c r="E11" s="26" t="s">
        <v>87</v>
      </c>
      <c r="F11" s="26" t="s">
        <v>84</v>
      </c>
      <c r="G11" s="26" t="s">
        <v>115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33">
        <v>122387</v>
      </c>
      <c r="O11" s="126">
        <v>0</v>
      </c>
      <c r="P11" s="126">
        <v>0</v>
      </c>
      <c r="Q11" s="22">
        <f t="shared" si="0"/>
        <v>122387</v>
      </c>
    </row>
    <row r="12" spans="1:17" ht="13.8">
      <c r="A12" s="125">
        <v>4</v>
      </c>
      <c r="B12" s="36">
        <v>2202</v>
      </c>
      <c r="C12" s="26" t="s">
        <v>73</v>
      </c>
      <c r="D12" s="26" t="s">
        <v>79</v>
      </c>
      <c r="E12" s="26" t="s">
        <v>87</v>
      </c>
      <c r="F12" s="26" t="s">
        <v>85</v>
      </c>
      <c r="G12" s="26" t="s">
        <v>115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34">
        <v>33873</v>
      </c>
      <c r="P12" s="126">
        <v>0</v>
      </c>
      <c r="Q12" s="22">
        <f t="shared" si="0"/>
        <v>33873</v>
      </c>
    </row>
    <row r="13" spans="1:17" ht="13.8">
      <c r="A13" s="125">
        <v>5</v>
      </c>
      <c r="B13" s="36">
        <v>2202</v>
      </c>
      <c r="C13" s="26" t="s">
        <v>73</v>
      </c>
      <c r="D13" s="26" t="s">
        <v>79</v>
      </c>
      <c r="E13" s="26" t="s">
        <v>87</v>
      </c>
      <c r="F13" s="26" t="s">
        <v>86</v>
      </c>
      <c r="G13" s="26" t="s">
        <v>115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35">
        <v>38700</v>
      </c>
      <c r="Q13" s="22">
        <f t="shared" si="0"/>
        <v>38700</v>
      </c>
    </row>
    <row r="14" spans="1:17" ht="13.8">
      <c r="A14" s="125">
        <v>6</v>
      </c>
      <c r="B14" s="36">
        <v>2202</v>
      </c>
      <c r="C14" s="26" t="s">
        <v>73</v>
      </c>
      <c r="D14" s="26" t="s">
        <v>79</v>
      </c>
      <c r="E14" s="26">
        <v>63</v>
      </c>
      <c r="F14" s="26" t="s">
        <v>83</v>
      </c>
      <c r="G14" s="26" t="s">
        <v>115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36">
        <v>172048</v>
      </c>
      <c r="N14" s="126">
        <v>0</v>
      </c>
      <c r="O14" s="126">
        <v>0</v>
      </c>
      <c r="P14" s="126">
        <v>0</v>
      </c>
      <c r="Q14" s="22">
        <f t="shared" si="0"/>
        <v>172048</v>
      </c>
    </row>
    <row r="15" spans="1:17" ht="13.8">
      <c r="A15" s="125">
        <v>7</v>
      </c>
      <c r="B15" s="36">
        <v>2202</v>
      </c>
      <c r="C15" s="26" t="s">
        <v>73</v>
      </c>
      <c r="D15" s="26" t="s">
        <v>79</v>
      </c>
      <c r="E15" s="26">
        <v>63</v>
      </c>
      <c r="F15" s="26" t="s">
        <v>84</v>
      </c>
      <c r="G15" s="26" t="s">
        <v>115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37">
        <v>143403</v>
      </c>
      <c r="O15" s="126">
        <v>0</v>
      </c>
      <c r="P15" s="126">
        <v>0</v>
      </c>
      <c r="Q15" s="22">
        <f t="shared" si="0"/>
        <v>143403</v>
      </c>
    </row>
    <row r="16" spans="1:17" ht="13.8">
      <c r="A16" s="125">
        <v>8</v>
      </c>
      <c r="B16" s="36">
        <v>2202</v>
      </c>
      <c r="C16" s="26" t="s">
        <v>73</v>
      </c>
      <c r="D16" s="26" t="s">
        <v>79</v>
      </c>
      <c r="E16" s="26">
        <v>63</v>
      </c>
      <c r="F16" s="26" t="s">
        <v>85</v>
      </c>
      <c r="G16" s="26" t="s">
        <v>115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/>
      <c r="O16" s="138">
        <v>31856</v>
      </c>
      <c r="P16" s="126">
        <v>0</v>
      </c>
      <c r="Q16" s="22">
        <f t="shared" si="0"/>
        <v>31856</v>
      </c>
    </row>
    <row r="17" spans="1:17" ht="13.8">
      <c r="A17" s="125">
        <v>9</v>
      </c>
      <c r="B17" s="36">
        <v>2202</v>
      </c>
      <c r="C17" s="26" t="s">
        <v>73</v>
      </c>
      <c r="D17" s="26" t="s">
        <v>79</v>
      </c>
      <c r="E17" s="26">
        <v>63</v>
      </c>
      <c r="F17" s="26" t="s">
        <v>86</v>
      </c>
      <c r="G17" s="26" t="s">
        <v>115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39">
        <v>59375</v>
      </c>
      <c r="Q17" s="22">
        <f t="shared" si="0"/>
        <v>59375</v>
      </c>
    </row>
    <row r="18" spans="1:17" ht="13.8">
      <c r="A18" s="125">
        <v>10</v>
      </c>
      <c r="B18" s="37">
        <v>2515</v>
      </c>
      <c r="C18" s="26" t="s">
        <v>74</v>
      </c>
      <c r="D18" s="26" t="s">
        <v>81</v>
      </c>
      <c r="E18" s="26" t="s">
        <v>82</v>
      </c>
      <c r="F18" s="26" t="s">
        <v>74</v>
      </c>
      <c r="G18" s="26" t="s">
        <v>115</v>
      </c>
      <c r="H18" s="175">
        <f>L18*35%</f>
        <v>22457.399999999998</v>
      </c>
      <c r="I18" s="175">
        <f>L18*29%</f>
        <v>18607.559999999998</v>
      </c>
      <c r="J18" s="175">
        <f>L18*8%</f>
        <v>5133.12</v>
      </c>
      <c r="K18" s="175">
        <f>L18*28%</f>
        <v>17965.920000000002</v>
      </c>
      <c r="L18" s="146">
        <v>64164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</row>
    <row r="19" spans="1:17" ht="13.8">
      <c r="A19" s="125">
        <v>11</v>
      </c>
      <c r="B19" s="37">
        <v>2515</v>
      </c>
      <c r="C19" s="26" t="s">
        <v>74</v>
      </c>
      <c r="D19" s="26" t="s">
        <v>81</v>
      </c>
      <c r="E19" s="26" t="s">
        <v>82</v>
      </c>
      <c r="F19" s="26" t="s">
        <v>74</v>
      </c>
      <c r="G19" s="26" t="s">
        <v>88</v>
      </c>
      <c r="H19" s="175">
        <v>423</v>
      </c>
      <c r="I19" s="175">
        <v>345</v>
      </c>
      <c r="J19" s="175">
        <v>102</v>
      </c>
      <c r="K19" s="175">
        <v>330</v>
      </c>
      <c r="L19" s="146">
        <v>1200</v>
      </c>
      <c r="M19" s="126"/>
      <c r="N19" s="126"/>
      <c r="O19" s="126"/>
      <c r="P19" s="126"/>
      <c r="Q19" s="126"/>
    </row>
    <row r="20" spans="1:17" ht="13.8">
      <c r="A20" s="125">
        <v>12</v>
      </c>
      <c r="B20" s="37">
        <v>2515</v>
      </c>
      <c r="C20" s="26" t="s">
        <v>74</v>
      </c>
      <c r="D20" s="26" t="s">
        <v>81</v>
      </c>
      <c r="E20" s="26" t="s">
        <v>82</v>
      </c>
      <c r="F20" s="26" t="s">
        <v>74</v>
      </c>
      <c r="G20" s="26" t="s">
        <v>102</v>
      </c>
      <c r="H20" s="175">
        <v>514</v>
      </c>
      <c r="I20" s="175">
        <v>420</v>
      </c>
      <c r="J20" s="175">
        <v>124</v>
      </c>
      <c r="K20" s="175">
        <v>402</v>
      </c>
      <c r="L20" s="152">
        <v>1460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</row>
    <row r="21" spans="1:17" ht="13.8">
      <c r="A21" s="125">
        <v>13</v>
      </c>
      <c r="B21" s="37">
        <v>2515</v>
      </c>
      <c r="C21" s="26" t="s">
        <v>74</v>
      </c>
      <c r="D21" s="26" t="s">
        <v>79</v>
      </c>
      <c r="E21" s="26" t="s">
        <v>82</v>
      </c>
      <c r="F21" s="26" t="s">
        <v>74</v>
      </c>
      <c r="G21" s="26" t="s">
        <v>115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7">
        <f>ROUND($Q21*34%,0)</f>
        <v>45076</v>
      </c>
      <c r="N21" s="127">
        <f>ROUND($Q21*29%,0)</f>
        <v>38447</v>
      </c>
      <c r="O21" s="127">
        <f>ROUNDUP($Q21*9%,0)</f>
        <v>11932</v>
      </c>
      <c r="P21" s="127">
        <f>ROUNDUP($Q21*28%,0)</f>
        <v>37122</v>
      </c>
      <c r="Q21" s="140">
        <v>132577</v>
      </c>
    </row>
    <row r="22" spans="1:17" ht="13.8">
      <c r="A22" s="125">
        <v>14</v>
      </c>
      <c r="B22" s="37">
        <v>2515</v>
      </c>
      <c r="C22" s="26" t="s">
        <v>74</v>
      </c>
      <c r="D22" s="26" t="s">
        <v>79</v>
      </c>
      <c r="E22" s="26" t="s">
        <v>82</v>
      </c>
      <c r="F22" s="26" t="s">
        <v>74</v>
      </c>
      <c r="G22" s="26" t="s">
        <v>102</v>
      </c>
      <c r="H22" s="126"/>
      <c r="I22" s="126"/>
      <c r="J22" s="126"/>
      <c r="K22" s="126"/>
      <c r="L22" s="126"/>
      <c r="M22" s="127">
        <v>2132</v>
      </c>
      <c r="N22" s="127">
        <v>1822</v>
      </c>
      <c r="O22" s="127">
        <v>635</v>
      </c>
      <c r="P22" s="127">
        <v>1743</v>
      </c>
      <c r="Q22" s="140">
        <v>6332</v>
      </c>
    </row>
    <row r="23" spans="1:17" ht="13.8">
      <c r="A23" s="125">
        <v>15</v>
      </c>
      <c r="B23" s="37">
        <v>2505</v>
      </c>
      <c r="C23" s="26" t="s">
        <v>214</v>
      </c>
      <c r="D23" s="26" t="s">
        <v>134</v>
      </c>
      <c r="E23" s="26" t="s">
        <v>135</v>
      </c>
      <c r="F23" s="26" t="s">
        <v>74</v>
      </c>
      <c r="G23" s="26" t="s">
        <v>136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7">
        <f>ROUND($Q23*34%,0)</f>
        <v>476000</v>
      </c>
      <c r="N23" s="127">
        <f>ROUND($Q23*29%,0)</f>
        <v>406000</v>
      </c>
      <c r="O23" s="127">
        <f>ROUNDUP($Q23*9%,0)</f>
        <v>126000</v>
      </c>
      <c r="P23" s="127">
        <f>ROUNDUP($Q23*28%,0)</f>
        <v>392000</v>
      </c>
      <c r="Q23" s="141">
        <v>1400000</v>
      </c>
    </row>
    <row r="24" spans="1:17" ht="30" customHeight="1">
      <c r="A24" s="50"/>
      <c r="B24" s="521" t="s">
        <v>137</v>
      </c>
      <c r="C24" s="522"/>
      <c r="D24" s="522"/>
      <c r="E24" s="522"/>
      <c r="F24" s="522"/>
      <c r="G24" s="523"/>
      <c r="H24" s="176">
        <f t="shared" ref="H24:P24" si="1">SUM(H9:H23)</f>
        <v>23394.399999999998</v>
      </c>
      <c r="I24" s="176">
        <f t="shared" si="1"/>
        <v>19372.559999999998</v>
      </c>
      <c r="J24" s="176">
        <f t="shared" si="1"/>
        <v>5359.12</v>
      </c>
      <c r="K24" s="176">
        <f t="shared" si="1"/>
        <v>18697.920000000002</v>
      </c>
      <c r="L24" s="51">
        <f t="shared" si="1"/>
        <v>66824</v>
      </c>
      <c r="M24" s="51">
        <f t="shared" si="1"/>
        <v>873153</v>
      </c>
      <c r="N24" s="51">
        <f t="shared" si="1"/>
        <v>712059</v>
      </c>
      <c r="O24" s="51">
        <f t="shared" si="1"/>
        <v>204296</v>
      </c>
      <c r="P24" s="51">
        <f t="shared" si="1"/>
        <v>528940</v>
      </c>
      <c r="Q24" s="51">
        <f>SUM(Q9:Q23)</f>
        <v>2318448</v>
      </c>
    </row>
    <row r="25" spans="1:17" ht="13.8">
      <c r="A25" s="42"/>
      <c r="B25" s="43"/>
      <c r="C25" s="44"/>
      <c r="D25" s="44"/>
      <c r="E25" s="44"/>
      <c r="F25" s="44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ht="13.5" customHeight="1">
      <c r="A26" s="5" t="s">
        <v>138</v>
      </c>
      <c r="B26" s="6"/>
      <c r="C26" s="518" t="s">
        <v>139</v>
      </c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</row>
    <row r="27" spans="1:17" ht="13.5" customHeight="1">
      <c r="B27" s="7"/>
      <c r="C27" s="7"/>
      <c r="D27" s="8"/>
      <c r="E27" s="9"/>
      <c r="F27" s="9"/>
      <c r="G27" s="9"/>
      <c r="H27" s="10"/>
      <c r="I27" s="11"/>
      <c r="J27" s="11"/>
      <c r="K27" s="11"/>
      <c r="L27" s="11"/>
      <c r="M27" s="52"/>
      <c r="N27" s="53"/>
      <c r="O27" s="54"/>
      <c r="P27" s="53"/>
      <c r="Q27" s="53"/>
    </row>
    <row r="28" spans="1:17">
      <c r="C28" s="14"/>
      <c r="D28" s="14"/>
      <c r="E28" s="15"/>
      <c r="F28" s="15"/>
      <c r="G28" s="15"/>
      <c r="H28" s="16"/>
    </row>
    <row r="29" spans="1:17" ht="13.8">
      <c r="A29" s="153" t="s">
        <v>218</v>
      </c>
      <c r="C29" s="14"/>
      <c r="D29" s="14"/>
      <c r="E29" s="15"/>
      <c r="F29" s="15"/>
      <c r="G29" s="15"/>
      <c r="H29" s="16"/>
      <c r="M29" s="127">
        <v>350158</v>
      </c>
      <c r="N29" s="127">
        <v>299208</v>
      </c>
      <c r="O29" s="127">
        <v>104344</v>
      </c>
      <c r="P29" s="127">
        <v>286390</v>
      </c>
      <c r="Q29" s="141">
        <v>1040100</v>
      </c>
    </row>
    <row r="30" spans="1:17">
      <c r="C30" s="14"/>
      <c r="D30" s="14"/>
      <c r="E30" s="15"/>
      <c r="F30" s="15"/>
      <c r="G30" s="15"/>
      <c r="H30" s="16"/>
    </row>
    <row r="31" spans="1:17">
      <c r="C31" s="14"/>
      <c r="D31" s="14"/>
      <c r="E31" s="15"/>
      <c r="F31" s="15"/>
      <c r="G31" s="15"/>
      <c r="H31" s="16"/>
    </row>
    <row r="32" spans="1:17" ht="13.8">
      <c r="C32" s="14"/>
      <c r="D32" s="14"/>
      <c r="E32" s="15"/>
      <c r="F32" s="15"/>
      <c r="G32" s="15"/>
      <c r="H32" s="40"/>
      <c r="I32" s="40"/>
      <c r="J32" s="40"/>
      <c r="K32" s="40"/>
      <c r="L32" s="17">
        <v>187700</v>
      </c>
      <c r="M32" s="40">
        <f>ROUND(M8/$Q$8*$Q$32,0)</f>
        <v>403990</v>
      </c>
      <c r="N32" s="40">
        <f>ROUND(N8/$Q$8*$Q$32,0)</f>
        <v>345206</v>
      </c>
      <c r="O32" s="40">
        <f>ROUND(O8/$Q$8*$Q$32,0)</f>
        <v>120386</v>
      </c>
      <c r="P32" s="40">
        <f>ROUND(P8/$Q$8*$Q$32,0)</f>
        <v>330419</v>
      </c>
      <c r="Q32" s="19">
        <v>1200000</v>
      </c>
    </row>
    <row r="33" spans="3:17" ht="13.8">
      <c r="C33" s="14"/>
      <c r="D33" s="14"/>
      <c r="E33" s="15"/>
      <c r="F33" s="15"/>
      <c r="G33" s="15"/>
      <c r="H33" s="16"/>
      <c r="M33" s="40">
        <f>ROUND(M8/$Q$8*$Q$33,0)</f>
        <v>33666</v>
      </c>
      <c r="N33" s="40">
        <f>ROUND(N8/$Q$8*$Q$33,0)</f>
        <v>28767</v>
      </c>
      <c r="O33" s="40">
        <f>ROUND(O8/$Q$8*$Q$33,0)</f>
        <v>10032</v>
      </c>
      <c r="P33" s="40">
        <f>ROUND(P8/$Q$8*$Q$33,0)</f>
        <v>27535</v>
      </c>
      <c r="Q33" s="19">
        <v>100000</v>
      </c>
    </row>
    <row r="34" spans="3:17">
      <c r="C34" s="14"/>
      <c r="D34" s="14"/>
      <c r="E34" s="15"/>
      <c r="F34" s="15"/>
      <c r="G34" s="15"/>
      <c r="H34" s="16"/>
      <c r="O34" s="17">
        <v>68.3</v>
      </c>
    </row>
    <row r="35" spans="3:17">
      <c r="C35" s="14"/>
      <c r="D35" s="14"/>
      <c r="E35" s="15"/>
      <c r="F35" s="15"/>
      <c r="G35" s="15"/>
      <c r="H35" s="16"/>
    </row>
    <row r="36" spans="3:17">
      <c r="C36" s="14"/>
      <c r="D36" s="14"/>
      <c r="E36" s="15"/>
      <c r="F36" s="15"/>
      <c r="G36" s="15"/>
      <c r="H36" s="155">
        <v>111.68</v>
      </c>
      <c r="I36" s="17">
        <v>91.17</v>
      </c>
      <c r="J36" s="17">
        <v>26.93</v>
      </c>
      <c r="K36" s="17">
        <v>87.41</v>
      </c>
      <c r="L36" s="156">
        <f>SUM(H36:K36)</f>
        <v>317.19000000000005</v>
      </c>
      <c r="M36" s="158">
        <v>229.2</v>
      </c>
      <c r="N36" s="159">
        <v>195.85</v>
      </c>
      <c r="O36" s="160">
        <v>68.3</v>
      </c>
      <c r="P36" s="160">
        <v>187.46</v>
      </c>
      <c r="Q36" s="161">
        <f>SUM(M36:P36)</f>
        <v>680.81</v>
      </c>
    </row>
    <row r="37" spans="3:17">
      <c r="C37" s="14"/>
      <c r="D37" s="14"/>
      <c r="E37" s="15"/>
      <c r="F37" s="15"/>
      <c r="G37" s="15"/>
      <c r="H37" s="41">
        <f>ROUND(H36/$L$36*$L$37,2)</f>
        <v>14083.67</v>
      </c>
      <c r="I37" s="41">
        <f>ROUND(I36/$L$36*$L$37,2)</f>
        <v>11497.21</v>
      </c>
      <c r="J37" s="41">
        <f>ROUND(J36/$L$36*$L$37,2)</f>
        <v>3396.07</v>
      </c>
      <c r="K37" s="41">
        <f>ROUND(K36/$L$36*$L$37,2)</f>
        <v>11023.05</v>
      </c>
      <c r="L37" s="157">
        <v>40000</v>
      </c>
      <c r="M37" s="162">
        <f>ROUND(M36/$Q$36*$Q$37,2)</f>
        <v>2131.7199999999998</v>
      </c>
      <c r="N37" s="162">
        <f>ROUND(N36/$Q$36*$Q$37,2)</f>
        <v>1821.54</v>
      </c>
      <c r="O37" s="162">
        <f>ROUND(O36/$Q$36*$Q$37,2)</f>
        <v>635.24</v>
      </c>
      <c r="P37" s="162">
        <f>ROUND(P36/$Q$36*$Q$37,2)</f>
        <v>1743.51</v>
      </c>
      <c r="Q37" s="163">
        <v>6332</v>
      </c>
    </row>
    <row r="38" spans="3:17">
      <c r="C38" s="14"/>
      <c r="D38" s="14"/>
      <c r="E38" s="15"/>
      <c r="F38" s="15"/>
      <c r="G38" s="15"/>
      <c r="H38" s="41">
        <f>H37/$L$37*100</f>
        <v>35.209174999999995</v>
      </c>
      <c r="I38" s="41">
        <f>I37/$L$37*100</f>
        <v>28.743024999999999</v>
      </c>
      <c r="J38" s="41">
        <f>J37/$L$37*100</f>
        <v>8.4901750000000007</v>
      </c>
      <c r="K38" s="41">
        <f>K37/$L$37*100</f>
        <v>27.557624999999998</v>
      </c>
      <c r="L38" s="17">
        <f>SUM(H38:K38)</f>
        <v>100</v>
      </c>
      <c r="M38" s="162">
        <f>M37/$Q$37*100</f>
        <v>33.665824384080857</v>
      </c>
      <c r="N38" s="162">
        <f>N37/$Q$37*100</f>
        <v>28.767214150347442</v>
      </c>
      <c r="O38" s="162">
        <f>O37/$Q$37*100</f>
        <v>10.032217308907139</v>
      </c>
      <c r="P38" s="162">
        <f>P37/$Q$37*100</f>
        <v>27.534902084649399</v>
      </c>
      <c r="Q38" s="160">
        <f>SUM(M38:P38)</f>
        <v>100.00015792798484</v>
      </c>
    </row>
    <row r="39" spans="3:17">
      <c r="C39" s="14"/>
      <c r="D39" s="14"/>
      <c r="E39" s="15"/>
      <c r="F39" s="15"/>
      <c r="G39" s="15"/>
      <c r="H39" s="16"/>
    </row>
    <row r="40" spans="3:17">
      <c r="C40" s="14"/>
      <c r="D40" s="14"/>
      <c r="E40" s="15"/>
      <c r="F40" s="15"/>
      <c r="G40" s="15"/>
      <c r="H40" s="16">
        <f>ROUND(H39/$L$36*$L$37,2)</f>
        <v>0</v>
      </c>
      <c r="I40" s="17">
        <f>ROUND(I39/$L$36*$L$37,2)</f>
        <v>0</v>
      </c>
      <c r="J40" s="17">
        <f>ROUND(J39/$L$36*$L$37,2)</f>
        <v>0</v>
      </c>
      <c r="K40" s="17">
        <f>ROUND(K39/$L$36*$L$37,2)</f>
        <v>0</v>
      </c>
      <c r="L40" s="17">
        <v>1200</v>
      </c>
    </row>
    <row r="41" spans="3:17">
      <c r="C41" s="14"/>
      <c r="D41" s="14"/>
      <c r="E41" s="15"/>
      <c r="F41" s="15"/>
      <c r="G41" s="15"/>
      <c r="H41" s="16"/>
    </row>
    <row r="42" spans="3:17" ht="15.6">
      <c r="C42" s="14"/>
      <c r="D42" s="14"/>
      <c r="E42" s="15"/>
      <c r="F42" s="15"/>
      <c r="G42" s="15"/>
      <c r="H42" s="142">
        <v>80.849999999999994</v>
      </c>
      <c r="I42" s="143">
        <v>66</v>
      </c>
      <c r="J42" s="143">
        <v>19.489999999999998</v>
      </c>
      <c r="K42" s="143">
        <v>63.28</v>
      </c>
      <c r="L42" s="144">
        <f>SUM(H42:K42)</f>
        <v>229.62</v>
      </c>
      <c r="M42" s="143"/>
    </row>
    <row r="43" spans="3:17" ht="15.6">
      <c r="C43" s="14"/>
      <c r="D43" s="14"/>
      <c r="E43" s="15"/>
      <c r="F43" s="15"/>
      <c r="G43" s="15"/>
      <c r="H43" s="145">
        <f>ROUND(H42/$L$42*$L$43,2)</f>
        <v>366222.82</v>
      </c>
      <c r="I43" s="145">
        <f>ROUND(I42/$L$42*$L$43,2)</f>
        <v>298957.40999999997</v>
      </c>
      <c r="J43" s="145">
        <f>ROUND(J42/$L$42*$L$43,2)</f>
        <v>88283.03</v>
      </c>
      <c r="K43" s="145">
        <f>ROUND(K42/$L$42*$L$43,2)</f>
        <v>286636.74</v>
      </c>
      <c r="L43" s="143">
        <v>1040100</v>
      </c>
      <c r="M43" s="143"/>
    </row>
    <row r="44" spans="3:17" ht="15.6">
      <c r="C44" s="14"/>
      <c r="D44" s="14"/>
      <c r="E44" s="15"/>
      <c r="F44" s="15"/>
      <c r="G44" s="15"/>
      <c r="H44" s="145">
        <f>H43/$L$43*100</f>
        <v>35.210347082011346</v>
      </c>
      <c r="I44" s="145">
        <f>I43/$L$43*100</f>
        <v>28.743141044130372</v>
      </c>
      <c r="J44" s="145">
        <f>J43/$L$43*100</f>
        <v>8.4879367368522249</v>
      </c>
      <c r="K44" s="145">
        <f>K43/$L$43*100</f>
        <v>27.558575137006059</v>
      </c>
      <c r="L44" s="143">
        <f>SUM(H44:K44)</f>
        <v>100</v>
      </c>
      <c r="M44" s="143"/>
    </row>
    <row r="45" spans="3:17">
      <c r="C45" s="14"/>
      <c r="D45" s="14"/>
      <c r="E45" s="15"/>
      <c r="F45" s="15"/>
      <c r="G45" s="15"/>
      <c r="H45" s="16"/>
    </row>
    <row r="46" spans="3:17">
      <c r="C46" s="14"/>
      <c r="D46" s="14"/>
      <c r="E46" s="15"/>
      <c r="F46" s="15"/>
      <c r="G46" s="15"/>
      <c r="H46" s="16"/>
    </row>
    <row r="47" spans="3:17">
      <c r="C47" s="14"/>
      <c r="D47" s="14"/>
      <c r="E47" s="15"/>
      <c r="F47" s="15"/>
      <c r="G47" s="15"/>
      <c r="H47" s="16"/>
    </row>
    <row r="48" spans="3:17">
      <c r="C48" s="14"/>
      <c r="D48" s="14"/>
      <c r="E48" s="15"/>
      <c r="F48" s="15"/>
      <c r="G48" s="15"/>
      <c r="H48" s="16"/>
    </row>
    <row r="49" spans="3:8">
      <c r="C49" s="14"/>
      <c r="D49" s="14"/>
      <c r="E49" s="15"/>
      <c r="F49" s="15"/>
      <c r="G49" s="15"/>
      <c r="H49" s="16"/>
    </row>
    <row r="50" spans="3:8">
      <c r="C50" s="14"/>
      <c r="D50" s="14"/>
      <c r="E50" s="15"/>
      <c r="F50" s="15"/>
      <c r="G50" s="15"/>
      <c r="H50" s="16"/>
    </row>
    <row r="51" spans="3:8">
      <c r="C51" s="14"/>
      <c r="D51" s="14"/>
      <c r="E51" s="15"/>
      <c r="F51" s="15"/>
      <c r="G51" s="15"/>
      <c r="H51" s="16"/>
    </row>
    <row r="52" spans="3:8">
      <c r="C52" s="14"/>
      <c r="D52" s="14"/>
      <c r="E52" s="15"/>
      <c r="F52" s="15"/>
      <c r="G52" s="15"/>
      <c r="H52" s="16"/>
    </row>
    <row r="53" spans="3:8">
      <c r="C53" s="14"/>
      <c r="D53" s="14"/>
      <c r="E53" s="15"/>
      <c r="F53" s="15"/>
      <c r="G53" s="15"/>
      <c r="H53" s="16"/>
    </row>
    <row r="54" spans="3:8">
      <c r="C54" s="14"/>
      <c r="D54" s="14"/>
      <c r="E54" s="15"/>
      <c r="F54" s="15"/>
      <c r="G54" s="15"/>
      <c r="H54" s="16"/>
    </row>
    <row r="55" spans="3:8">
      <c r="C55" s="14"/>
      <c r="D55" s="14"/>
      <c r="E55" s="15"/>
      <c r="F55" s="15"/>
      <c r="G55" s="15"/>
      <c r="H55" s="16"/>
    </row>
    <row r="56" spans="3:8">
      <c r="C56" s="14"/>
      <c r="D56" s="14"/>
      <c r="E56" s="15"/>
      <c r="F56" s="15"/>
      <c r="G56" s="15"/>
      <c r="H56" s="16"/>
    </row>
    <row r="57" spans="3:8">
      <c r="C57" s="14"/>
      <c r="D57" s="14"/>
      <c r="E57" s="15"/>
      <c r="F57" s="15"/>
      <c r="G57" s="15"/>
      <c r="H57" s="16"/>
    </row>
    <row r="58" spans="3:8">
      <c r="C58" s="14"/>
      <c r="D58" s="14"/>
      <c r="E58" s="15"/>
      <c r="F58" s="15"/>
      <c r="G58" s="15"/>
      <c r="H58" s="16"/>
    </row>
    <row r="59" spans="3:8">
      <c r="C59" s="14"/>
      <c r="D59" s="14"/>
      <c r="E59" s="15"/>
      <c r="F59" s="15"/>
      <c r="G59" s="15"/>
      <c r="H59" s="16"/>
    </row>
    <row r="60" spans="3:8">
      <c r="C60" s="14"/>
      <c r="D60" s="14"/>
      <c r="E60" s="15"/>
      <c r="F60" s="15"/>
      <c r="G60" s="15"/>
      <c r="H60" s="16"/>
    </row>
    <row r="61" spans="3:8">
      <c r="C61" s="14"/>
      <c r="D61" s="14"/>
      <c r="E61" s="15"/>
      <c r="F61" s="15"/>
      <c r="G61" s="15"/>
      <c r="H61" s="16"/>
    </row>
    <row r="62" spans="3:8">
      <c r="C62" s="14"/>
      <c r="D62" s="14"/>
      <c r="E62" s="15"/>
      <c r="F62" s="15"/>
      <c r="G62" s="15"/>
      <c r="H62" s="16"/>
    </row>
    <row r="63" spans="3:8">
      <c r="C63" s="14"/>
      <c r="D63" s="14"/>
      <c r="E63" s="15"/>
      <c r="F63" s="15"/>
      <c r="G63" s="15"/>
      <c r="H63" s="16"/>
    </row>
    <row r="64" spans="3:8">
      <c r="C64" s="14"/>
      <c r="D64" s="14"/>
      <c r="E64" s="15"/>
      <c r="F64" s="15"/>
      <c r="G64" s="15"/>
      <c r="H64" s="16"/>
    </row>
    <row r="65" spans="3:8">
      <c r="C65" s="14"/>
      <c r="D65" s="14"/>
      <c r="E65" s="15"/>
      <c r="F65" s="15"/>
      <c r="G65" s="15"/>
      <c r="H65" s="16"/>
    </row>
    <row r="66" spans="3:8">
      <c r="C66" s="14"/>
      <c r="D66" s="14"/>
      <c r="E66" s="15"/>
      <c r="F66" s="15"/>
      <c r="G66" s="15"/>
      <c r="H66" s="16"/>
    </row>
    <row r="67" spans="3:8">
      <c r="C67" s="14"/>
      <c r="D67" s="14"/>
      <c r="E67" s="15"/>
      <c r="F67" s="15"/>
      <c r="G67" s="15"/>
      <c r="H67" s="16"/>
    </row>
    <row r="68" spans="3:8">
      <c r="C68" s="14"/>
      <c r="D68" s="14"/>
      <c r="E68" s="15"/>
      <c r="F68" s="15"/>
      <c r="G68" s="15"/>
      <c r="H68" s="16"/>
    </row>
    <row r="69" spans="3:8">
      <c r="C69" s="14"/>
      <c r="D69" s="14"/>
      <c r="E69" s="15"/>
      <c r="F69" s="15"/>
      <c r="G69" s="15"/>
      <c r="H69" s="16"/>
    </row>
    <row r="70" spans="3:8">
      <c r="C70" s="14"/>
      <c r="D70" s="14"/>
      <c r="E70" s="15"/>
      <c r="F70" s="15"/>
      <c r="G70" s="15"/>
      <c r="H70" s="16"/>
    </row>
    <row r="71" spans="3:8">
      <c r="C71" s="14"/>
      <c r="D71" s="14"/>
      <c r="E71" s="15"/>
      <c r="F71" s="15"/>
      <c r="G71" s="15"/>
      <c r="H71" s="16"/>
    </row>
    <row r="72" spans="3:8">
      <c r="C72" s="14"/>
      <c r="D72" s="14"/>
      <c r="E72" s="15"/>
      <c r="F72" s="15"/>
      <c r="G72" s="15"/>
      <c r="H72" s="16"/>
    </row>
    <row r="73" spans="3:8">
      <c r="C73" s="14"/>
      <c r="D73" s="14"/>
      <c r="E73" s="15"/>
      <c r="F73" s="15"/>
      <c r="G73" s="15"/>
      <c r="H73" s="16"/>
    </row>
    <row r="74" spans="3:8">
      <c r="C74" s="14"/>
      <c r="D74" s="14"/>
      <c r="E74" s="15"/>
      <c r="F74" s="15"/>
      <c r="G74" s="15"/>
      <c r="H74" s="16"/>
    </row>
    <row r="75" spans="3:8">
      <c r="C75" s="14"/>
      <c r="D75" s="14"/>
      <c r="E75" s="15"/>
      <c r="F75" s="15"/>
      <c r="G75" s="15"/>
      <c r="H75" s="16"/>
    </row>
    <row r="76" spans="3:8">
      <c r="C76" s="14"/>
      <c r="D76" s="14"/>
      <c r="E76" s="15"/>
      <c r="F76" s="15"/>
      <c r="G76" s="15"/>
      <c r="H76" s="16"/>
    </row>
    <row r="77" spans="3:8">
      <c r="C77" s="14"/>
      <c r="D77" s="14"/>
      <c r="E77" s="15"/>
      <c r="F77" s="15"/>
      <c r="G77" s="15"/>
      <c r="H77" s="16"/>
    </row>
    <row r="78" spans="3:8">
      <c r="C78" s="14"/>
      <c r="D78" s="14"/>
      <c r="E78" s="15"/>
      <c r="F78" s="15"/>
      <c r="G78" s="15"/>
      <c r="H78" s="16"/>
    </row>
    <row r="79" spans="3:8">
      <c r="C79" s="14"/>
      <c r="D79" s="14"/>
      <c r="E79" s="15"/>
      <c r="F79" s="15"/>
      <c r="G79" s="15"/>
      <c r="H79" s="16"/>
    </row>
    <row r="80" spans="3:8">
      <c r="C80" s="14"/>
      <c r="D80" s="14"/>
      <c r="E80" s="15"/>
      <c r="F80" s="15"/>
      <c r="G80" s="15"/>
      <c r="H80" s="16"/>
    </row>
    <row r="81" spans="3:8">
      <c r="C81" s="14"/>
      <c r="D81" s="14"/>
      <c r="E81" s="15"/>
      <c r="F81" s="15"/>
      <c r="G81" s="15"/>
      <c r="H81" s="16"/>
    </row>
    <row r="82" spans="3:8">
      <c r="C82" s="14"/>
      <c r="D82" s="14"/>
      <c r="E82" s="15"/>
      <c r="F82" s="15"/>
      <c r="G82" s="15"/>
      <c r="H82" s="16"/>
    </row>
    <row r="83" spans="3:8">
      <c r="C83" s="14"/>
      <c r="D83" s="14"/>
      <c r="E83" s="15"/>
      <c r="F83" s="15"/>
      <c r="G83" s="15"/>
      <c r="H83" s="16"/>
    </row>
    <row r="84" spans="3:8">
      <c r="C84" s="14"/>
      <c r="D84" s="14"/>
      <c r="E84" s="15"/>
      <c r="F84" s="15"/>
      <c r="G84" s="15"/>
      <c r="H84" s="16"/>
    </row>
    <row r="85" spans="3:8">
      <c r="C85" s="14"/>
      <c r="D85" s="14"/>
      <c r="E85" s="15"/>
      <c r="F85" s="15"/>
      <c r="G85" s="15"/>
      <c r="H85" s="16"/>
    </row>
    <row r="86" spans="3:8">
      <c r="C86" s="14"/>
      <c r="D86" s="14"/>
      <c r="E86" s="15"/>
      <c r="F86" s="15"/>
      <c r="G86" s="15"/>
      <c r="H86" s="16"/>
    </row>
    <row r="87" spans="3:8">
      <c r="C87" s="14"/>
      <c r="D87" s="14"/>
      <c r="E87" s="15"/>
      <c r="F87" s="15"/>
      <c r="G87" s="15"/>
      <c r="H87" s="16"/>
    </row>
    <row r="88" spans="3:8">
      <c r="C88" s="14"/>
      <c r="D88" s="14"/>
      <c r="E88" s="15"/>
      <c r="F88" s="15"/>
      <c r="G88" s="15"/>
      <c r="H88" s="16"/>
    </row>
    <row r="89" spans="3:8">
      <c r="C89" s="14"/>
      <c r="D89" s="14"/>
      <c r="E89" s="15"/>
      <c r="F89" s="15"/>
      <c r="G89" s="15"/>
      <c r="H89" s="16"/>
    </row>
    <row r="90" spans="3:8">
      <c r="C90" s="14"/>
      <c r="D90" s="14"/>
      <c r="E90" s="15"/>
      <c r="F90" s="15"/>
      <c r="G90" s="15"/>
      <c r="H90" s="16"/>
    </row>
    <row r="91" spans="3:8">
      <c r="C91" s="14"/>
      <c r="D91" s="14"/>
      <c r="E91" s="15"/>
      <c r="F91" s="15"/>
      <c r="G91" s="15"/>
      <c r="H91" s="16"/>
    </row>
    <row r="92" spans="3:8">
      <c r="C92" s="14"/>
      <c r="D92" s="14"/>
      <c r="E92" s="15"/>
      <c r="F92" s="15"/>
      <c r="G92" s="15"/>
      <c r="H92" s="16"/>
    </row>
    <row r="93" spans="3:8">
      <c r="C93" s="14"/>
      <c r="D93" s="14"/>
      <c r="E93" s="15"/>
      <c r="F93" s="15"/>
      <c r="G93" s="15"/>
      <c r="H93" s="16"/>
    </row>
    <row r="94" spans="3:8">
      <c r="C94" s="14"/>
      <c r="D94" s="14"/>
      <c r="E94" s="15"/>
      <c r="F94" s="15"/>
      <c r="G94" s="15"/>
      <c r="H94" s="16"/>
    </row>
    <row r="95" spans="3:8">
      <c r="C95" s="14"/>
      <c r="D95" s="14"/>
      <c r="E95" s="15"/>
      <c r="F95" s="15"/>
      <c r="G95" s="15"/>
      <c r="H95" s="16"/>
    </row>
    <row r="96" spans="3:8">
      <c r="C96" s="14"/>
      <c r="D96" s="14"/>
      <c r="E96" s="15"/>
      <c r="F96" s="15"/>
      <c r="G96" s="15"/>
      <c r="H96" s="16"/>
    </row>
    <row r="97" spans="3:8">
      <c r="C97" s="14"/>
      <c r="D97" s="14"/>
      <c r="E97" s="15"/>
      <c r="F97" s="15"/>
      <c r="G97" s="15"/>
      <c r="H97" s="16"/>
    </row>
    <row r="98" spans="3:8">
      <c r="C98" s="14"/>
      <c r="D98" s="14"/>
      <c r="E98" s="15"/>
      <c r="F98" s="15"/>
      <c r="G98" s="15"/>
      <c r="H98" s="16"/>
    </row>
    <row r="99" spans="3:8">
      <c r="C99" s="14"/>
      <c r="D99" s="14"/>
      <c r="E99" s="15"/>
      <c r="F99" s="15"/>
      <c r="G99" s="15"/>
      <c r="H99" s="16"/>
    </row>
    <row r="100" spans="3:8">
      <c r="C100" s="14"/>
      <c r="D100" s="14"/>
      <c r="E100" s="15"/>
      <c r="F100" s="15"/>
      <c r="G100" s="15"/>
      <c r="H100" s="16"/>
    </row>
    <row r="101" spans="3:8">
      <c r="C101" s="14"/>
      <c r="D101" s="14"/>
      <c r="E101" s="15"/>
      <c r="F101" s="15"/>
      <c r="G101" s="15"/>
      <c r="H101" s="16"/>
    </row>
    <row r="102" spans="3:8">
      <c r="C102" s="14"/>
      <c r="D102" s="14"/>
      <c r="E102" s="15"/>
      <c r="F102" s="15"/>
      <c r="G102" s="15"/>
      <c r="H102" s="16"/>
    </row>
    <row r="103" spans="3:8">
      <c r="C103" s="14"/>
      <c r="D103" s="14"/>
      <c r="E103" s="15"/>
      <c r="F103" s="15"/>
      <c r="G103" s="15"/>
      <c r="H103" s="16"/>
    </row>
    <row r="104" spans="3:8">
      <c r="C104" s="14"/>
      <c r="D104" s="14"/>
      <c r="E104" s="15"/>
      <c r="F104" s="15"/>
      <c r="G104" s="15"/>
      <c r="H104" s="16"/>
    </row>
    <row r="105" spans="3:8">
      <c r="C105" s="14"/>
      <c r="D105" s="14"/>
      <c r="E105" s="15"/>
      <c r="F105" s="15"/>
      <c r="G105" s="15"/>
      <c r="H105" s="16"/>
    </row>
    <row r="106" spans="3:8">
      <c r="C106" s="14"/>
      <c r="D106" s="14"/>
      <c r="E106" s="15"/>
      <c r="F106" s="15"/>
      <c r="G106" s="15"/>
      <c r="H106" s="16"/>
    </row>
    <row r="107" spans="3:8">
      <c r="C107" s="14"/>
      <c r="D107" s="14"/>
      <c r="E107" s="15"/>
      <c r="F107" s="15"/>
      <c r="G107" s="15"/>
      <c r="H107" s="16"/>
    </row>
    <row r="108" spans="3:8">
      <c r="C108" s="14"/>
      <c r="D108" s="14"/>
      <c r="E108" s="15"/>
      <c r="F108" s="15"/>
      <c r="G108" s="15"/>
      <c r="H108" s="16"/>
    </row>
    <row r="109" spans="3:8">
      <c r="C109" s="14"/>
      <c r="D109" s="14"/>
      <c r="E109" s="15"/>
      <c r="F109" s="15"/>
      <c r="G109" s="15"/>
      <c r="H109" s="16"/>
    </row>
    <row r="110" spans="3:8">
      <c r="C110" s="14"/>
      <c r="D110" s="14"/>
      <c r="E110" s="15"/>
      <c r="F110" s="15"/>
      <c r="G110" s="15"/>
      <c r="H110" s="16"/>
    </row>
    <row r="111" spans="3:8">
      <c r="C111" s="14"/>
      <c r="D111" s="14"/>
      <c r="E111" s="15"/>
      <c r="F111" s="15"/>
      <c r="G111" s="15"/>
      <c r="H111" s="16"/>
    </row>
    <row r="112" spans="3:8">
      <c r="C112" s="14"/>
      <c r="D112" s="14"/>
      <c r="E112" s="15"/>
      <c r="F112" s="15"/>
      <c r="G112" s="15"/>
      <c r="H112" s="16"/>
    </row>
    <row r="113" spans="3:8">
      <c r="C113" s="14"/>
      <c r="D113" s="14"/>
      <c r="E113" s="15"/>
      <c r="F113" s="15"/>
      <c r="G113" s="15"/>
      <c r="H113" s="16"/>
    </row>
    <row r="114" spans="3:8">
      <c r="C114" s="14"/>
      <c r="D114" s="14"/>
      <c r="E114" s="15"/>
      <c r="F114" s="15"/>
      <c r="G114" s="15"/>
      <c r="H114" s="16"/>
    </row>
    <row r="115" spans="3:8">
      <c r="C115" s="14"/>
      <c r="D115" s="14"/>
      <c r="E115" s="15"/>
      <c r="F115" s="15"/>
      <c r="G115" s="15"/>
      <c r="H115" s="16"/>
    </row>
    <row r="116" spans="3:8">
      <c r="C116" s="14"/>
      <c r="D116" s="14"/>
      <c r="E116" s="15"/>
      <c r="F116" s="15"/>
      <c r="G116" s="15"/>
      <c r="H116" s="16"/>
    </row>
    <row r="117" spans="3:8">
      <c r="C117" s="14"/>
      <c r="D117" s="14"/>
      <c r="E117" s="15"/>
      <c r="F117" s="15"/>
      <c r="G117" s="15"/>
      <c r="H117" s="16"/>
    </row>
    <row r="118" spans="3:8">
      <c r="C118" s="14"/>
      <c r="D118" s="14"/>
      <c r="E118" s="15"/>
      <c r="F118" s="15"/>
      <c r="G118" s="15"/>
      <c r="H118" s="16"/>
    </row>
    <row r="119" spans="3:8">
      <c r="C119" s="14"/>
      <c r="D119" s="14"/>
      <c r="E119" s="15"/>
      <c r="F119" s="15"/>
      <c r="G119" s="15"/>
      <c r="H119" s="16"/>
    </row>
    <row r="120" spans="3:8">
      <c r="C120" s="14"/>
      <c r="D120" s="14"/>
      <c r="E120" s="15"/>
      <c r="F120" s="15"/>
      <c r="G120" s="15"/>
      <c r="H120" s="16"/>
    </row>
    <row r="121" spans="3:8">
      <c r="C121" s="14"/>
      <c r="D121" s="14"/>
      <c r="E121" s="15"/>
      <c r="F121" s="15"/>
      <c r="G121" s="15"/>
      <c r="H121" s="16"/>
    </row>
    <row r="122" spans="3:8">
      <c r="C122" s="14"/>
      <c r="D122" s="14"/>
      <c r="E122" s="15"/>
      <c r="F122" s="15"/>
      <c r="G122" s="15"/>
      <c r="H122" s="16"/>
    </row>
    <row r="123" spans="3:8">
      <c r="C123" s="14"/>
      <c r="D123" s="14"/>
      <c r="E123" s="15"/>
      <c r="F123" s="15"/>
      <c r="G123" s="15"/>
      <c r="H123" s="16"/>
    </row>
    <row r="124" spans="3:8">
      <c r="C124" s="14"/>
      <c r="D124" s="14"/>
      <c r="E124" s="15"/>
      <c r="F124" s="15"/>
      <c r="G124" s="15"/>
      <c r="H124" s="16"/>
    </row>
    <row r="125" spans="3:8">
      <c r="C125" s="14"/>
      <c r="D125" s="14"/>
      <c r="E125" s="15"/>
      <c r="F125" s="15"/>
      <c r="G125" s="15"/>
      <c r="H125" s="16"/>
    </row>
    <row r="126" spans="3:8">
      <c r="C126" s="14"/>
      <c r="D126" s="14"/>
      <c r="E126" s="15"/>
      <c r="F126" s="15"/>
      <c r="G126" s="15"/>
      <c r="H126" s="16"/>
    </row>
    <row r="127" spans="3:8">
      <c r="C127" s="14"/>
      <c r="D127" s="14"/>
      <c r="E127" s="15"/>
      <c r="F127" s="15"/>
      <c r="G127" s="15"/>
      <c r="H127" s="16"/>
    </row>
    <row r="128" spans="3:8">
      <c r="C128" s="14"/>
      <c r="D128" s="14"/>
      <c r="E128" s="15"/>
      <c r="F128" s="15"/>
      <c r="G128" s="15"/>
      <c r="H128" s="16"/>
    </row>
    <row r="129" spans="3:8">
      <c r="C129" s="14"/>
      <c r="D129" s="14"/>
      <c r="E129" s="15"/>
      <c r="F129" s="15"/>
      <c r="G129" s="15"/>
      <c r="H129" s="16"/>
    </row>
    <row r="130" spans="3:8">
      <c r="C130" s="14"/>
      <c r="D130" s="14"/>
      <c r="E130" s="15"/>
      <c r="F130" s="15"/>
      <c r="G130" s="15"/>
      <c r="H130" s="16"/>
    </row>
    <row r="131" spans="3:8">
      <c r="C131" s="14"/>
      <c r="D131" s="14"/>
      <c r="E131" s="15"/>
      <c r="F131" s="15"/>
      <c r="G131" s="15"/>
      <c r="H131" s="16"/>
    </row>
    <row r="132" spans="3:8">
      <c r="C132" s="14"/>
      <c r="D132" s="14"/>
      <c r="E132" s="15"/>
      <c r="F132" s="15"/>
      <c r="G132" s="15"/>
      <c r="H132" s="16"/>
    </row>
    <row r="133" spans="3:8">
      <c r="C133" s="14"/>
      <c r="D133" s="14"/>
      <c r="E133" s="15"/>
      <c r="F133" s="15"/>
      <c r="G133" s="15"/>
      <c r="H133" s="16"/>
    </row>
    <row r="134" spans="3:8">
      <c r="C134" s="14"/>
      <c r="D134" s="14"/>
      <c r="E134" s="15"/>
      <c r="F134" s="15"/>
      <c r="G134" s="15"/>
      <c r="H134" s="16"/>
    </row>
    <row r="135" spans="3:8">
      <c r="C135" s="14"/>
      <c r="D135" s="14"/>
      <c r="E135" s="15"/>
      <c r="F135" s="15"/>
      <c r="G135" s="15"/>
      <c r="H135" s="16"/>
    </row>
    <row r="136" spans="3:8">
      <c r="C136" s="14"/>
      <c r="D136" s="14"/>
      <c r="E136" s="15"/>
      <c r="F136" s="15"/>
      <c r="G136" s="15"/>
      <c r="H136" s="16"/>
    </row>
    <row r="137" spans="3:8">
      <c r="C137" s="14"/>
      <c r="D137" s="14"/>
      <c r="E137" s="15"/>
      <c r="F137" s="15"/>
      <c r="G137" s="15"/>
      <c r="H137" s="16"/>
    </row>
    <row r="138" spans="3:8">
      <c r="C138" s="14"/>
      <c r="D138" s="14"/>
      <c r="E138" s="15"/>
      <c r="F138" s="15"/>
      <c r="G138" s="15"/>
      <c r="H138" s="16"/>
    </row>
    <row r="139" spans="3:8">
      <c r="C139" s="14"/>
      <c r="D139" s="14"/>
      <c r="E139" s="15"/>
      <c r="F139" s="15"/>
      <c r="G139" s="15"/>
      <c r="H139" s="16"/>
    </row>
    <row r="140" spans="3:8">
      <c r="C140" s="14"/>
      <c r="D140" s="14"/>
      <c r="E140" s="15"/>
      <c r="F140" s="15"/>
      <c r="G140" s="15"/>
      <c r="H140" s="16"/>
    </row>
    <row r="141" spans="3:8">
      <c r="C141" s="14"/>
      <c r="D141" s="14"/>
      <c r="E141" s="15"/>
      <c r="F141" s="15"/>
      <c r="G141" s="15"/>
      <c r="H141" s="16"/>
    </row>
    <row r="142" spans="3:8">
      <c r="C142" s="14"/>
      <c r="D142" s="14"/>
      <c r="E142" s="15"/>
      <c r="F142" s="15"/>
      <c r="G142" s="15"/>
      <c r="H142" s="16"/>
    </row>
    <row r="143" spans="3:8">
      <c r="C143" s="14"/>
      <c r="D143" s="14"/>
      <c r="E143" s="15"/>
      <c r="F143" s="15"/>
      <c r="G143" s="15"/>
      <c r="H143" s="16"/>
    </row>
    <row r="144" spans="3:8">
      <c r="C144" s="14"/>
      <c r="D144" s="14"/>
      <c r="E144" s="15"/>
      <c r="F144" s="15"/>
      <c r="G144" s="15"/>
      <c r="H144" s="16"/>
    </row>
    <row r="145" spans="3:8">
      <c r="C145" s="14"/>
      <c r="D145" s="14"/>
      <c r="E145" s="15"/>
      <c r="F145" s="15"/>
      <c r="G145" s="15"/>
      <c r="H145" s="16"/>
    </row>
    <row r="146" spans="3:8">
      <c r="C146" s="14"/>
      <c r="D146" s="14"/>
      <c r="E146" s="15"/>
      <c r="F146" s="15"/>
      <c r="G146" s="15"/>
      <c r="H146" s="16"/>
    </row>
    <row r="147" spans="3:8">
      <c r="C147" s="14"/>
      <c r="D147" s="14"/>
      <c r="E147" s="15"/>
      <c r="F147" s="15"/>
      <c r="G147" s="15"/>
      <c r="H147" s="16"/>
    </row>
    <row r="148" spans="3:8">
      <c r="C148" s="14"/>
      <c r="D148" s="14"/>
      <c r="E148" s="15"/>
      <c r="F148" s="15"/>
      <c r="G148" s="15"/>
      <c r="H148" s="16"/>
    </row>
    <row r="149" spans="3:8">
      <c r="C149" s="14"/>
      <c r="D149" s="14"/>
      <c r="E149" s="15"/>
      <c r="F149" s="15"/>
      <c r="G149" s="15"/>
      <c r="H149" s="16"/>
    </row>
    <row r="150" spans="3:8">
      <c r="C150" s="14"/>
      <c r="D150" s="14"/>
      <c r="E150" s="15"/>
      <c r="F150" s="15"/>
      <c r="G150" s="15"/>
      <c r="H150" s="16"/>
    </row>
    <row r="151" spans="3:8">
      <c r="C151" s="14"/>
      <c r="D151" s="14"/>
      <c r="E151" s="15"/>
      <c r="F151" s="15"/>
      <c r="G151" s="15"/>
      <c r="H151" s="16"/>
    </row>
    <row r="152" spans="3:8">
      <c r="C152" s="14"/>
      <c r="D152" s="14"/>
      <c r="E152" s="15"/>
      <c r="F152" s="15"/>
      <c r="G152" s="15"/>
      <c r="H152" s="16"/>
    </row>
    <row r="153" spans="3:8">
      <c r="C153" s="14"/>
      <c r="D153" s="14"/>
      <c r="E153" s="15"/>
      <c r="F153" s="15"/>
      <c r="G153" s="15"/>
      <c r="H153" s="16"/>
    </row>
    <row r="154" spans="3:8">
      <c r="C154" s="14"/>
      <c r="D154" s="14"/>
      <c r="E154" s="15"/>
      <c r="F154" s="15"/>
      <c r="G154" s="15"/>
      <c r="H154" s="16"/>
    </row>
  </sheetData>
  <mergeCells count="8">
    <mergeCell ref="C26:Q26"/>
    <mergeCell ref="A1:Q1"/>
    <mergeCell ref="A3:Q3"/>
    <mergeCell ref="B24:G24"/>
    <mergeCell ref="B6:G6"/>
    <mergeCell ref="H6:L6"/>
    <mergeCell ref="M6:Q6"/>
    <mergeCell ref="A6:A7"/>
  </mergeCells>
  <phoneticPr fontId="6" type="noConversion"/>
  <pageMargins left="0.98425196850393704" right="0.78740157480314965" top="0.74803149606299213" bottom="0.9055118110236221" header="0.51181102362204722" footer="0.59055118110236227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/>
  <dimension ref="A1:R152"/>
  <sheetViews>
    <sheetView view="pageBreakPreview" zoomScaleSheetLayoutView="100" workbookViewId="0">
      <selection activeCell="P21" sqref="P21"/>
    </sheetView>
  </sheetViews>
  <sheetFormatPr defaultColWidth="9.33203125" defaultRowHeight="13.2"/>
  <cols>
    <col min="1" max="1" width="4.6640625" style="12" customWidth="1"/>
    <col min="2" max="2" width="6.6640625" style="13" customWidth="1"/>
    <col min="3" max="3" width="5.6640625" style="23" customWidth="1"/>
    <col min="4" max="4" width="6.33203125" style="23" customWidth="1"/>
    <col min="5" max="5" width="5.6640625" style="24" customWidth="1"/>
    <col min="6" max="7" width="5.6640625" style="17" customWidth="1"/>
    <col min="8" max="8" width="8.6640625" style="25" customWidth="1"/>
    <col min="9" max="13" width="8.6640625" style="17" customWidth="1"/>
    <col min="14" max="17" width="8.6640625" style="18" customWidth="1"/>
    <col min="18" max="16384" width="9.33203125" style="18"/>
  </cols>
  <sheetData>
    <row r="1" spans="1:17" ht="15.6">
      <c r="A1" s="519" t="s">
        <v>99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17" ht="15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5.6">
      <c r="A3" s="520" t="s">
        <v>97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5.6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>
      <c r="Q5" s="2" t="s">
        <v>101</v>
      </c>
    </row>
    <row r="6" spans="1:17" ht="16.2" customHeight="1">
      <c r="A6" s="534" t="s">
        <v>141</v>
      </c>
      <c r="B6" s="539" t="s">
        <v>94</v>
      </c>
      <c r="C6" s="540"/>
      <c r="D6" s="540"/>
      <c r="E6" s="540"/>
      <c r="F6" s="540"/>
      <c r="G6" s="541"/>
      <c r="H6" s="531" t="s">
        <v>95</v>
      </c>
      <c r="I6" s="532"/>
      <c r="J6" s="532"/>
      <c r="K6" s="532"/>
      <c r="L6" s="533"/>
      <c r="M6" s="531" t="s">
        <v>93</v>
      </c>
      <c r="N6" s="532"/>
      <c r="O6" s="532"/>
      <c r="P6" s="532"/>
      <c r="Q6" s="533"/>
    </row>
    <row r="7" spans="1:17" ht="13.8">
      <c r="A7" s="535"/>
      <c r="B7" s="177" t="s">
        <v>12</v>
      </c>
      <c r="C7" s="178" t="s">
        <v>75</v>
      </c>
      <c r="D7" s="178" t="s">
        <v>12</v>
      </c>
      <c r="E7" s="179" t="s">
        <v>77</v>
      </c>
      <c r="F7" s="178" t="s">
        <v>76</v>
      </c>
      <c r="G7" s="178" t="s">
        <v>78</v>
      </c>
      <c r="H7" s="180" t="s">
        <v>89</v>
      </c>
      <c r="I7" s="180" t="s">
        <v>90</v>
      </c>
      <c r="J7" s="180" t="s">
        <v>91</v>
      </c>
      <c r="K7" s="180" t="s">
        <v>92</v>
      </c>
      <c r="L7" s="180" t="s">
        <v>64</v>
      </c>
      <c r="M7" s="180" t="s">
        <v>89</v>
      </c>
      <c r="N7" s="180" t="s">
        <v>90</v>
      </c>
      <c r="O7" s="180" t="s">
        <v>91</v>
      </c>
      <c r="P7" s="180" t="s">
        <v>92</v>
      </c>
      <c r="Q7" s="180" t="s">
        <v>64</v>
      </c>
    </row>
    <row r="8" spans="1:17" ht="13.8" hidden="1">
      <c r="A8" s="4"/>
      <c r="B8" s="4"/>
      <c r="C8" s="536" t="s">
        <v>96</v>
      </c>
      <c r="D8" s="537"/>
      <c r="E8" s="537"/>
      <c r="F8" s="537"/>
      <c r="G8" s="538"/>
      <c r="H8" s="151">
        <v>35.209182782283222</v>
      </c>
      <c r="I8" s="151">
        <v>28.743025577043046</v>
      </c>
      <c r="J8" s="151">
        <v>8.4901809107922652</v>
      </c>
      <c r="K8" s="151">
        <v>27.557616968184657</v>
      </c>
      <c r="L8" s="154">
        <f>SUM(H8:K8)</f>
        <v>100.00000623830319</v>
      </c>
      <c r="M8" s="147">
        <f>H8</f>
        <v>35.209182782283222</v>
      </c>
      <c r="N8" s="147">
        <f>I8</f>
        <v>28.743025577043046</v>
      </c>
      <c r="O8" s="147">
        <f>J8</f>
        <v>8.4901809107922652</v>
      </c>
      <c r="P8" s="147">
        <f>K8</f>
        <v>27.557616968184657</v>
      </c>
      <c r="Q8" s="154">
        <f>SUM(M8:P8)</f>
        <v>100.00000623830319</v>
      </c>
    </row>
    <row r="9" spans="1:17" ht="14.7" customHeight="1">
      <c r="A9" s="128">
        <v>1</v>
      </c>
      <c r="B9" s="21">
        <v>2202</v>
      </c>
      <c r="C9" s="129" t="s">
        <v>73</v>
      </c>
      <c r="D9" s="129" t="s">
        <v>79</v>
      </c>
      <c r="E9" s="129" t="s">
        <v>82</v>
      </c>
      <c r="F9" s="129" t="s">
        <v>84</v>
      </c>
      <c r="G9" s="129" t="s">
        <v>115</v>
      </c>
      <c r="H9" s="181">
        <v>0</v>
      </c>
      <c r="I9" s="181">
        <v>0</v>
      </c>
      <c r="J9" s="181">
        <v>0</v>
      </c>
      <c r="K9" s="181">
        <v>0</v>
      </c>
      <c r="L9" s="182">
        <f>SUM(H9:K9)</f>
        <v>0</v>
      </c>
      <c r="M9" s="181">
        <v>0</v>
      </c>
      <c r="N9" s="195">
        <v>0</v>
      </c>
      <c r="O9" s="181">
        <v>0</v>
      </c>
      <c r="P9" s="181">
        <v>0</v>
      </c>
      <c r="Q9" s="196">
        <f>SUM(M9:P9)</f>
        <v>0</v>
      </c>
    </row>
    <row r="10" spans="1:17" ht="14.7" customHeight="1">
      <c r="A10" s="128">
        <v>2</v>
      </c>
      <c r="B10" s="21">
        <v>2202</v>
      </c>
      <c r="C10" s="129" t="s">
        <v>73</v>
      </c>
      <c r="D10" s="129" t="s">
        <v>79</v>
      </c>
      <c r="E10" s="129" t="s">
        <v>87</v>
      </c>
      <c r="F10" s="129" t="s">
        <v>83</v>
      </c>
      <c r="G10" s="129" t="s">
        <v>115</v>
      </c>
      <c r="H10" s="181">
        <v>0</v>
      </c>
      <c r="I10" s="181">
        <v>0</v>
      </c>
      <c r="J10" s="181">
        <v>0</v>
      </c>
      <c r="K10" s="181">
        <v>0</v>
      </c>
      <c r="L10" s="182">
        <f t="shared" ref="L10:L17" si="0">SUM(H10:K10)</f>
        <v>0</v>
      </c>
      <c r="M10" s="184">
        <v>364470</v>
      </c>
      <c r="N10" s="181">
        <v>0</v>
      </c>
      <c r="O10" s="181">
        <v>0</v>
      </c>
      <c r="P10" s="181">
        <v>0</v>
      </c>
      <c r="Q10" s="183">
        <f t="shared" ref="Q10:Q18" si="1">SUM(M10:P10)</f>
        <v>364470</v>
      </c>
    </row>
    <row r="11" spans="1:17" ht="14.7" customHeight="1">
      <c r="A11" s="128">
        <v>3</v>
      </c>
      <c r="B11" s="21">
        <v>2202</v>
      </c>
      <c r="C11" s="129" t="s">
        <v>73</v>
      </c>
      <c r="D11" s="129" t="s">
        <v>79</v>
      </c>
      <c r="E11" s="129" t="s">
        <v>87</v>
      </c>
      <c r="F11" s="129" t="s">
        <v>84</v>
      </c>
      <c r="G11" s="129" t="s">
        <v>115</v>
      </c>
      <c r="H11" s="181">
        <v>0</v>
      </c>
      <c r="I11" s="181">
        <v>0</v>
      </c>
      <c r="J11" s="181">
        <v>0</v>
      </c>
      <c r="K11" s="181">
        <v>0</v>
      </c>
      <c r="L11" s="182">
        <f t="shared" si="0"/>
        <v>0</v>
      </c>
      <c r="M11" s="181">
        <v>0</v>
      </c>
      <c r="N11" s="185">
        <v>381730</v>
      </c>
      <c r="O11" s="181">
        <v>0</v>
      </c>
      <c r="P11" s="181">
        <v>0</v>
      </c>
      <c r="Q11" s="183">
        <f t="shared" si="1"/>
        <v>381730</v>
      </c>
    </row>
    <row r="12" spans="1:17" ht="14.7" customHeight="1">
      <c r="A12" s="128">
        <v>4</v>
      </c>
      <c r="B12" s="21">
        <v>2202</v>
      </c>
      <c r="C12" s="129" t="s">
        <v>73</v>
      </c>
      <c r="D12" s="129" t="s">
        <v>79</v>
      </c>
      <c r="E12" s="129" t="s">
        <v>87</v>
      </c>
      <c r="F12" s="129" t="s">
        <v>85</v>
      </c>
      <c r="G12" s="129" t="s">
        <v>115</v>
      </c>
      <c r="H12" s="181">
        <v>0</v>
      </c>
      <c r="I12" s="181">
        <v>0</v>
      </c>
      <c r="J12" s="181">
        <v>0</v>
      </c>
      <c r="K12" s="181">
        <v>0</v>
      </c>
      <c r="L12" s="182">
        <f t="shared" si="0"/>
        <v>0</v>
      </c>
      <c r="M12" s="181">
        <v>0</v>
      </c>
      <c r="N12" s="181">
        <v>0</v>
      </c>
      <c r="O12" s="186">
        <v>121110</v>
      </c>
      <c r="P12" s="181">
        <v>0</v>
      </c>
      <c r="Q12" s="183">
        <f t="shared" si="1"/>
        <v>121110</v>
      </c>
    </row>
    <row r="13" spans="1:17" ht="14.7" customHeight="1">
      <c r="A13" s="128">
        <v>5</v>
      </c>
      <c r="B13" s="21">
        <v>2202</v>
      </c>
      <c r="C13" s="129" t="s">
        <v>73</v>
      </c>
      <c r="D13" s="129" t="s">
        <v>79</v>
      </c>
      <c r="E13" s="129" t="s">
        <v>87</v>
      </c>
      <c r="F13" s="129" t="s">
        <v>86</v>
      </c>
      <c r="G13" s="129" t="s">
        <v>115</v>
      </c>
      <c r="H13" s="181">
        <v>0</v>
      </c>
      <c r="I13" s="181">
        <v>0</v>
      </c>
      <c r="J13" s="181">
        <v>0</v>
      </c>
      <c r="K13" s="181">
        <v>0</v>
      </c>
      <c r="L13" s="182">
        <f t="shared" si="0"/>
        <v>0</v>
      </c>
      <c r="M13" s="181">
        <v>0</v>
      </c>
      <c r="N13" s="181">
        <v>0</v>
      </c>
      <c r="O13" s="181">
        <v>0</v>
      </c>
      <c r="P13" s="187">
        <v>388810</v>
      </c>
      <c r="Q13" s="183">
        <f t="shared" si="1"/>
        <v>388810</v>
      </c>
    </row>
    <row r="14" spans="1:17" ht="14.7" customHeight="1">
      <c r="A14" s="128">
        <v>6</v>
      </c>
      <c r="B14" s="21">
        <v>2202</v>
      </c>
      <c r="C14" s="129" t="s">
        <v>73</v>
      </c>
      <c r="D14" s="129" t="s">
        <v>79</v>
      </c>
      <c r="E14" s="129">
        <v>63</v>
      </c>
      <c r="F14" s="129" t="s">
        <v>83</v>
      </c>
      <c r="G14" s="129" t="s">
        <v>115</v>
      </c>
      <c r="H14" s="181">
        <v>0</v>
      </c>
      <c r="I14" s="181">
        <v>0</v>
      </c>
      <c r="J14" s="181">
        <v>0</v>
      </c>
      <c r="K14" s="181">
        <v>0</v>
      </c>
      <c r="L14" s="182">
        <f t="shared" si="0"/>
        <v>0</v>
      </c>
      <c r="M14" s="188">
        <v>503790</v>
      </c>
      <c r="N14" s="181">
        <v>0</v>
      </c>
      <c r="O14" s="181">
        <v>0</v>
      </c>
      <c r="P14" s="181">
        <v>0</v>
      </c>
      <c r="Q14" s="183">
        <f t="shared" si="1"/>
        <v>503790</v>
      </c>
    </row>
    <row r="15" spans="1:17" ht="14.7" customHeight="1">
      <c r="A15" s="128">
        <v>7</v>
      </c>
      <c r="B15" s="21">
        <v>2202</v>
      </c>
      <c r="C15" s="129" t="s">
        <v>73</v>
      </c>
      <c r="D15" s="129" t="s">
        <v>79</v>
      </c>
      <c r="E15" s="129">
        <v>63</v>
      </c>
      <c r="F15" s="129" t="s">
        <v>84</v>
      </c>
      <c r="G15" s="129" t="s">
        <v>115</v>
      </c>
      <c r="H15" s="181">
        <v>0</v>
      </c>
      <c r="I15" s="181">
        <v>0</v>
      </c>
      <c r="J15" s="181">
        <v>0</v>
      </c>
      <c r="K15" s="181">
        <v>0</v>
      </c>
      <c r="L15" s="182">
        <f t="shared" si="0"/>
        <v>0</v>
      </c>
      <c r="M15" s="181">
        <v>0</v>
      </c>
      <c r="N15" s="189">
        <v>247950</v>
      </c>
      <c r="O15" s="181">
        <v>0</v>
      </c>
      <c r="P15" s="181">
        <v>0</v>
      </c>
      <c r="Q15" s="183">
        <f t="shared" si="1"/>
        <v>247950</v>
      </c>
    </row>
    <row r="16" spans="1:17" ht="14.7" customHeight="1">
      <c r="A16" s="128">
        <v>8</v>
      </c>
      <c r="B16" s="21">
        <v>2202</v>
      </c>
      <c r="C16" s="129" t="s">
        <v>73</v>
      </c>
      <c r="D16" s="129" t="s">
        <v>79</v>
      </c>
      <c r="E16" s="129">
        <v>63</v>
      </c>
      <c r="F16" s="129" t="s">
        <v>85</v>
      </c>
      <c r="G16" s="129" t="s">
        <v>115</v>
      </c>
      <c r="H16" s="181">
        <v>0</v>
      </c>
      <c r="I16" s="181">
        <v>0</v>
      </c>
      <c r="J16" s="181">
        <v>0</v>
      </c>
      <c r="K16" s="181">
        <v>0</v>
      </c>
      <c r="L16" s="182">
        <f t="shared" si="0"/>
        <v>0</v>
      </c>
      <c r="M16" s="181">
        <v>0</v>
      </c>
      <c r="N16" s="181">
        <v>0</v>
      </c>
      <c r="O16" s="190">
        <v>82217</v>
      </c>
      <c r="P16" s="181">
        <v>0</v>
      </c>
      <c r="Q16" s="183">
        <f t="shared" si="1"/>
        <v>82217</v>
      </c>
    </row>
    <row r="17" spans="1:18" ht="14.7" customHeight="1">
      <c r="A17" s="128">
        <v>9</v>
      </c>
      <c r="B17" s="21">
        <v>2202</v>
      </c>
      <c r="C17" s="129" t="s">
        <v>73</v>
      </c>
      <c r="D17" s="129" t="s">
        <v>79</v>
      </c>
      <c r="E17" s="129">
        <v>63</v>
      </c>
      <c r="F17" s="129" t="s">
        <v>86</v>
      </c>
      <c r="G17" s="129" t="s">
        <v>115</v>
      </c>
      <c r="H17" s="181">
        <v>0</v>
      </c>
      <c r="I17" s="181">
        <v>0</v>
      </c>
      <c r="J17" s="181">
        <v>0</v>
      </c>
      <c r="K17" s="181">
        <v>0</v>
      </c>
      <c r="L17" s="182">
        <f t="shared" si="0"/>
        <v>0</v>
      </c>
      <c r="M17" s="181">
        <v>0</v>
      </c>
      <c r="N17" s="181">
        <v>0</v>
      </c>
      <c r="O17" s="181">
        <v>0</v>
      </c>
      <c r="P17" s="191">
        <v>366220</v>
      </c>
      <c r="Q17" s="183">
        <f t="shared" si="1"/>
        <v>366220</v>
      </c>
    </row>
    <row r="18" spans="1:18" ht="14.7" customHeight="1">
      <c r="A18" s="128">
        <v>10</v>
      </c>
      <c r="B18" s="21">
        <v>3604</v>
      </c>
      <c r="C18" s="130" t="s">
        <v>74</v>
      </c>
      <c r="D18" s="130" t="s">
        <v>80</v>
      </c>
      <c r="E18" s="130" t="s">
        <v>215</v>
      </c>
      <c r="F18" s="130" t="s">
        <v>216</v>
      </c>
      <c r="G18" s="130" t="s">
        <v>88</v>
      </c>
      <c r="H18" s="192">
        <f>ROUND($L18*35%,0)</f>
        <v>12339</v>
      </c>
      <c r="I18" s="192">
        <f>ROUND($L18*29%,0)</f>
        <v>10224</v>
      </c>
      <c r="J18" s="192">
        <f>ROUND($L18*8%,0)</f>
        <v>2820</v>
      </c>
      <c r="K18" s="192">
        <f>ROUND($L18*28%,0)</f>
        <v>9871</v>
      </c>
      <c r="L18" s="131">
        <v>35254</v>
      </c>
      <c r="M18" s="181">
        <v>0</v>
      </c>
      <c r="N18" s="181">
        <v>0</v>
      </c>
      <c r="O18" s="181">
        <v>0</v>
      </c>
      <c r="P18" s="181">
        <v>0</v>
      </c>
      <c r="Q18" s="193">
        <f t="shared" si="1"/>
        <v>0</v>
      </c>
    </row>
    <row r="19" spans="1:18" ht="14.7" customHeight="1">
      <c r="A19" s="128">
        <v>11</v>
      </c>
      <c r="B19" s="21">
        <v>3604</v>
      </c>
      <c r="C19" s="130" t="s">
        <v>74</v>
      </c>
      <c r="D19" s="130" t="s">
        <v>80</v>
      </c>
      <c r="E19" s="130" t="s">
        <v>215</v>
      </c>
      <c r="F19" s="130" t="s">
        <v>216</v>
      </c>
      <c r="G19" s="130" t="s">
        <v>102</v>
      </c>
      <c r="H19" s="181">
        <v>0</v>
      </c>
      <c r="I19" s="181">
        <v>0</v>
      </c>
      <c r="J19" s="181">
        <v>0</v>
      </c>
      <c r="K19" s="181">
        <v>0</v>
      </c>
      <c r="L19" s="182">
        <v>0</v>
      </c>
      <c r="M19" s="192">
        <f>ROUND($Q19*35%,0)</f>
        <v>28791</v>
      </c>
      <c r="N19" s="192">
        <f>ROUND($Q19*29%,0)</f>
        <v>23855</v>
      </c>
      <c r="O19" s="192">
        <f>ROUND($Q19*8%,0)</f>
        <v>6581</v>
      </c>
      <c r="P19" s="192">
        <f>ROUND($Q19*28%,0)</f>
        <v>23033</v>
      </c>
      <c r="Q19" s="132">
        <v>82260</v>
      </c>
    </row>
    <row r="20" spans="1:18" ht="14.7" customHeight="1">
      <c r="A20" s="128">
        <v>12</v>
      </c>
      <c r="B20" s="21">
        <v>3604</v>
      </c>
      <c r="C20" s="130" t="s">
        <v>74</v>
      </c>
      <c r="D20" s="130" t="s">
        <v>80</v>
      </c>
      <c r="E20" s="130" t="s">
        <v>217</v>
      </c>
      <c r="F20" s="130" t="s">
        <v>133</v>
      </c>
      <c r="G20" s="130" t="s">
        <v>102</v>
      </c>
      <c r="H20" s="181">
        <v>0</v>
      </c>
      <c r="I20" s="181">
        <v>0</v>
      </c>
      <c r="J20" s="181">
        <v>0</v>
      </c>
      <c r="K20" s="181">
        <v>0</v>
      </c>
      <c r="L20" s="182">
        <f>SUM(H20:K20)</f>
        <v>0</v>
      </c>
      <c r="M20" s="192">
        <f t="shared" ref="M20:M25" si="2">ROUND($Q20*35%,0)</f>
        <v>89775</v>
      </c>
      <c r="N20" s="192">
        <f t="shared" ref="N20:N25" si="3">ROUND($Q20*29%,0)</f>
        <v>74385</v>
      </c>
      <c r="O20" s="192">
        <f t="shared" ref="O20:O25" si="4">ROUND($Q20*8%,0)</f>
        <v>20520</v>
      </c>
      <c r="P20" s="192">
        <f t="shared" ref="P20:P25" si="5">ROUND($Q20*28%,0)</f>
        <v>71820</v>
      </c>
      <c r="Q20" s="132">
        <v>256500</v>
      </c>
    </row>
    <row r="21" spans="1:18" ht="14.7" customHeight="1">
      <c r="A21" s="128">
        <v>13</v>
      </c>
      <c r="B21" s="21">
        <v>3604</v>
      </c>
      <c r="C21" s="130" t="s">
        <v>74</v>
      </c>
      <c r="D21" s="130" t="s">
        <v>80</v>
      </c>
      <c r="E21" s="130" t="s">
        <v>225</v>
      </c>
      <c r="F21" s="130" t="s">
        <v>226</v>
      </c>
      <c r="G21" s="130" t="s">
        <v>102</v>
      </c>
      <c r="H21" s="181">
        <v>0</v>
      </c>
      <c r="I21" s="181">
        <v>0</v>
      </c>
      <c r="J21" s="181">
        <v>0</v>
      </c>
      <c r="K21" s="181">
        <v>0</v>
      </c>
      <c r="L21" s="182">
        <f>SUM(H21:K21)</f>
        <v>0</v>
      </c>
      <c r="M21" s="192">
        <f t="shared" si="2"/>
        <v>11550</v>
      </c>
      <c r="N21" s="192">
        <f t="shared" si="3"/>
        <v>9570</v>
      </c>
      <c r="O21" s="192">
        <f t="shared" si="4"/>
        <v>2640</v>
      </c>
      <c r="P21" s="192">
        <f t="shared" si="5"/>
        <v>9240</v>
      </c>
      <c r="Q21" s="132">
        <v>33000</v>
      </c>
    </row>
    <row r="22" spans="1:18" ht="14.7" customHeight="1">
      <c r="A22" s="128">
        <v>14</v>
      </c>
      <c r="B22" s="21">
        <v>3604</v>
      </c>
      <c r="C22" s="130" t="s">
        <v>74</v>
      </c>
      <c r="D22" s="130" t="s">
        <v>80</v>
      </c>
      <c r="E22" s="130" t="s">
        <v>231</v>
      </c>
      <c r="F22" s="130" t="s">
        <v>216</v>
      </c>
      <c r="G22" s="130" t="s">
        <v>88</v>
      </c>
      <c r="H22" s="192">
        <f>ROUND($L22*35%,0)</f>
        <v>8272</v>
      </c>
      <c r="I22" s="192">
        <f>ROUND($L22*29%,0)</f>
        <v>6854</v>
      </c>
      <c r="J22" s="192">
        <v>1890</v>
      </c>
      <c r="K22" s="192">
        <f>ROUND($L22*28%,0)</f>
        <v>6617</v>
      </c>
      <c r="L22" s="194">
        <v>23633</v>
      </c>
      <c r="M22" s="192"/>
      <c r="N22" s="192"/>
      <c r="O22" s="192"/>
      <c r="P22" s="192"/>
      <c r="Q22" s="132"/>
    </row>
    <row r="23" spans="1:18" ht="14.7" customHeight="1">
      <c r="A23" s="128">
        <v>15</v>
      </c>
      <c r="B23" s="21">
        <v>3604</v>
      </c>
      <c r="C23" s="130" t="s">
        <v>74</v>
      </c>
      <c r="D23" s="130" t="s">
        <v>80</v>
      </c>
      <c r="E23" s="130" t="s">
        <v>231</v>
      </c>
      <c r="F23" s="130" t="s">
        <v>216</v>
      </c>
      <c r="G23" s="130" t="s">
        <v>102</v>
      </c>
      <c r="H23" s="181"/>
      <c r="I23" s="181"/>
      <c r="J23" s="181"/>
      <c r="K23" s="181"/>
      <c r="L23" s="182"/>
      <c r="M23" s="192">
        <f t="shared" si="2"/>
        <v>17606</v>
      </c>
      <c r="N23" s="192">
        <f t="shared" si="3"/>
        <v>14588</v>
      </c>
      <c r="O23" s="192">
        <f t="shared" si="4"/>
        <v>4024</v>
      </c>
      <c r="P23" s="192">
        <f t="shared" si="5"/>
        <v>14085</v>
      </c>
      <c r="Q23" s="132">
        <v>50303</v>
      </c>
    </row>
    <row r="24" spans="1:18" ht="14.7" customHeight="1">
      <c r="A24" s="128">
        <v>16</v>
      </c>
      <c r="B24" s="21">
        <v>3604</v>
      </c>
      <c r="C24" s="130" t="s">
        <v>74</v>
      </c>
      <c r="D24" s="130" t="s">
        <v>80</v>
      </c>
      <c r="E24" s="130" t="s">
        <v>231</v>
      </c>
      <c r="F24" s="130" t="s">
        <v>226</v>
      </c>
      <c r="G24" s="130" t="s">
        <v>88</v>
      </c>
      <c r="H24" s="192">
        <f>ROUND($L24*35%,0)</f>
        <v>3545</v>
      </c>
      <c r="I24" s="192">
        <f>ROUND($L24*29%,0)</f>
        <v>2937</v>
      </c>
      <c r="J24" s="192">
        <v>1890</v>
      </c>
      <c r="K24" s="192">
        <f>ROUND($L24*28%,0)</f>
        <v>2836</v>
      </c>
      <c r="L24" s="194">
        <v>10129</v>
      </c>
      <c r="M24" s="192"/>
      <c r="N24" s="192"/>
      <c r="O24" s="192"/>
      <c r="P24" s="192"/>
      <c r="Q24" s="132"/>
    </row>
    <row r="25" spans="1:18" ht="14.7" customHeight="1">
      <c r="A25" s="128">
        <v>17</v>
      </c>
      <c r="B25" s="21">
        <v>3604</v>
      </c>
      <c r="C25" s="130" t="s">
        <v>74</v>
      </c>
      <c r="D25" s="130" t="s">
        <v>80</v>
      </c>
      <c r="E25" s="130" t="s">
        <v>231</v>
      </c>
      <c r="F25" s="130" t="s">
        <v>226</v>
      </c>
      <c r="G25" s="130" t="s">
        <v>102</v>
      </c>
      <c r="H25" s="192"/>
      <c r="I25" s="192"/>
      <c r="J25" s="192"/>
      <c r="K25" s="192"/>
      <c r="L25" s="194"/>
      <c r="M25" s="192">
        <f t="shared" si="2"/>
        <v>7545</v>
      </c>
      <c r="N25" s="192">
        <f t="shared" si="3"/>
        <v>6252</v>
      </c>
      <c r="O25" s="192">
        <f t="shared" si="4"/>
        <v>1725</v>
      </c>
      <c r="P25" s="192">
        <f t="shared" si="5"/>
        <v>6036</v>
      </c>
      <c r="Q25" s="132">
        <v>21558</v>
      </c>
    </row>
    <row r="26" spans="1:18" ht="14.1" customHeight="1">
      <c r="A26" s="530" t="s">
        <v>64</v>
      </c>
      <c r="B26" s="530"/>
      <c r="C26" s="530"/>
      <c r="D26" s="530"/>
      <c r="E26" s="530"/>
      <c r="F26" s="530"/>
      <c r="G26" s="530"/>
      <c r="H26" s="19">
        <f>SUM(H9:H20)</f>
        <v>12339</v>
      </c>
      <c r="I26" s="19">
        <f>SUM(I9:I20)</f>
        <v>10224</v>
      </c>
      <c r="J26" s="19">
        <f>SUM(J9:J20)</f>
        <v>2820</v>
      </c>
      <c r="K26" s="19">
        <f>SUM(K9:K20)</f>
        <v>9871</v>
      </c>
      <c r="L26" s="19">
        <f t="shared" ref="L26:Q26" si="6">SUM(L9:L25)</f>
        <v>69016</v>
      </c>
      <c r="M26" s="19">
        <f t="shared" si="6"/>
        <v>1023527</v>
      </c>
      <c r="N26" s="19">
        <f t="shared" si="6"/>
        <v>758330</v>
      </c>
      <c r="O26" s="19">
        <f t="shared" si="6"/>
        <v>238817</v>
      </c>
      <c r="P26" s="19">
        <f t="shared" si="6"/>
        <v>879244</v>
      </c>
      <c r="Q26" s="19">
        <f t="shared" si="6"/>
        <v>2899918</v>
      </c>
    </row>
    <row r="27" spans="1:18" ht="8.25" customHeight="1">
      <c r="A27" s="27"/>
      <c r="B27" s="28"/>
      <c r="C27" s="29"/>
      <c r="D27" s="29"/>
      <c r="E27" s="30"/>
      <c r="F27" s="30"/>
      <c r="G27" s="30"/>
      <c r="H27" s="31"/>
      <c r="I27" s="32"/>
      <c r="J27" s="32"/>
      <c r="K27" s="32"/>
      <c r="L27" s="32"/>
      <c r="M27" s="32"/>
      <c r="N27" s="33"/>
      <c r="O27" s="33"/>
      <c r="P27" s="33"/>
      <c r="Q27" s="33"/>
    </row>
    <row r="28" spans="1:18">
      <c r="A28" s="5" t="s">
        <v>138</v>
      </c>
      <c r="B28" s="6"/>
      <c r="C28" s="518" t="s">
        <v>139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34"/>
    </row>
    <row r="29" spans="1:18">
      <c r="C29" s="14"/>
      <c r="D29" s="14"/>
      <c r="E29" s="15"/>
      <c r="F29" s="15"/>
      <c r="G29" s="15"/>
      <c r="H29" s="16"/>
    </row>
    <row r="30" spans="1:18" ht="15.6">
      <c r="C30" s="14"/>
      <c r="D30" s="14"/>
      <c r="E30" s="15"/>
      <c r="F30" s="15"/>
      <c r="G30" s="15"/>
      <c r="H30" s="142">
        <v>111.68</v>
      </c>
      <c r="I30" s="143">
        <v>91.17</v>
      </c>
      <c r="J30" s="143">
        <v>26.93</v>
      </c>
      <c r="K30" s="143">
        <v>87.41</v>
      </c>
      <c r="L30" s="150">
        <f>SUM(H30:K30)</f>
        <v>317.19000000000005</v>
      </c>
      <c r="M30" s="164">
        <v>229.2</v>
      </c>
      <c r="N30" s="165">
        <v>195.85</v>
      </c>
      <c r="O30" s="166">
        <v>68.3</v>
      </c>
      <c r="P30" s="166">
        <v>187.46</v>
      </c>
      <c r="Q30" s="167">
        <f>SUM(M30:P30)</f>
        <v>680.81</v>
      </c>
    </row>
    <row r="31" spans="1:18" ht="13.8">
      <c r="C31" s="14"/>
      <c r="D31" s="14"/>
      <c r="E31" s="15"/>
      <c r="F31" s="15"/>
      <c r="G31" s="15"/>
      <c r="H31" s="151">
        <f>ROUND(H30/$L$30*$L$31,2)</f>
        <v>9429.3700000000008</v>
      </c>
      <c r="I31" s="151">
        <f>ROUND(I30/$L$30*$L$31,2)</f>
        <v>7697.67</v>
      </c>
      <c r="J31" s="151">
        <f>ROUND(J30/$L$30*$L$31,2)</f>
        <v>2273.75</v>
      </c>
      <c r="K31" s="151">
        <f>ROUND(K30/$L$30*$L$31,2)</f>
        <v>7380.2</v>
      </c>
      <c r="L31" s="131">
        <v>26781</v>
      </c>
      <c r="M31" s="168">
        <f>ROUND(M30/$Q$30*$Q$31,2)</f>
        <v>53966.25</v>
      </c>
      <c r="N31" s="168">
        <f>ROUND(N30/$Q$30*$Q$31,2)</f>
        <v>46113.83</v>
      </c>
      <c r="O31" s="168">
        <f>ROUND(O30/$Q$30*$Q$31,2)</f>
        <v>16081.56</v>
      </c>
      <c r="P31" s="168">
        <f>ROUND(P30/$Q$30*$Q$31,2)</f>
        <v>44138.36</v>
      </c>
      <c r="Q31" s="132">
        <v>160300</v>
      </c>
    </row>
    <row r="32" spans="1:18" ht="13.8">
      <c r="C32" s="14"/>
      <c r="D32" s="14"/>
      <c r="E32" s="15"/>
      <c r="F32" s="15"/>
      <c r="G32" s="15"/>
      <c r="H32" s="151">
        <f>H31/$L$31*100</f>
        <v>35.209178148687506</v>
      </c>
      <c r="I32" s="151">
        <f>I31/$L$31*100</f>
        <v>28.743026772712</v>
      </c>
      <c r="J32" s="151">
        <f>J31/$L$31*100</f>
        <v>8.4901609349912253</v>
      </c>
      <c r="K32" s="151">
        <f>K31/$L$31*100</f>
        <v>27.557596803704115</v>
      </c>
      <c r="L32" s="32">
        <f>SUM(H32:K32)</f>
        <v>99.999962660094852</v>
      </c>
      <c r="M32" s="168">
        <f>M31/$Q$31*100</f>
        <v>33.665782907049284</v>
      </c>
      <c r="N32" s="168">
        <f>N31/$Q$31*100</f>
        <v>28.767205240174675</v>
      </c>
      <c r="O32" s="168">
        <f>O31/$Q$31*100</f>
        <v>10.032164691203992</v>
      </c>
      <c r="P32" s="168">
        <f>P31/$Q$31*100</f>
        <v>27.534847161572053</v>
      </c>
      <c r="Q32" s="166">
        <f>SUM(M32:P32)</f>
        <v>100</v>
      </c>
    </row>
    <row r="33" spans="1:12" ht="18">
      <c r="C33" s="14"/>
      <c r="D33" s="14"/>
      <c r="E33" s="15"/>
      <c r="F33" s="15"/>
      <c r="G33" s="15"/>
      <c r="H33" s="149"/>
      <c r="I33" s="148"/>
      <c r="J33" s="148"/>
      <c r="K33" s="148"/>
      <c r="L33" s="148"/>
    </row>
    <row r="34" spans="1:12">
      <c r="C34" s="14"/>
      <c r="D34" s="14"/>
      <c r="E34" s="15"/>
      <c r="F34" s="15"/>
      <c r="G34" s="15"/>
      <c r="H34" s="16"/>
    </row>
    <row r="35" spans="1:12">
      <c r="A35" s="153" t="s">
        <v>218</v>
      </c>
      <c r="C35" s="14"/>
      <c r="D35" s="14"/>
      <c r="E35" s="15"/>
      <c r="F35" s="15"/>
      <c r="G35" s="15"/>
      <c r="H35" s="16"/>
    </row>
    <row r="36" spans="1:12">
      <c r="C36" s="14"/>
      <c r="D36" s="14"/>
      <c r="E36" s="15"/>
      <c r="F36" s="15"/>
      <c r="G36" s="15"/>
      <c r="H36" s="16"/>
    </row>
    <row r="37" spans="1:12">
      <c r="C37" s="14"/>
      <c r="D37" s="14"/>
      <c r="E37" s="15"/>
      <c r="F37" s="15"/>
      <c r="G37" s="15"/>
      <c r="H37" s="16"/>
    </row>
    <row r="38" spans="1:12">
      <c r="C38" s="14"/>
      <c r="D38" s="14"/>
      <c r="E38" s="15"/>
      <c r="F38" s="15"/>
      <c r="G38" s="15"/>
      <c r="H38" s="16"/>
    </row>
    <row r="39" spans="1:12">
      <c r="C39" s="14"/>
      <c r="D39" s="14"/>
      <c r="E39" s="15"/>
      <c r="F39" s="15"/>
      <c r="G39" s="15"/>
      <c r="H39" s="16"/>
    </row>
    <row r="40" spans="1:12">
      <c r="C40" s="14"/>
      <c r="D40" s="14"/>
      <c r="E40" s="15"/>
      <c r="F40" s="15"/>
      <c r="G40" s="15"/>
      <c r="H40" s="16"/>
    </row>
    <row r="41" spans="1:12">
      <c r="C41" s="14"/>
      <c r="D41" s="14"/>
      <c r="E41" s="15"/>
      <c r="F41" s="15"/>
      <c r="G41" s="15"/>
      <c r="H41" s="16"/>
    </row>
    <row r="42" spans="1:12">
      <c r="C42" s="14"/>
      <c r="D42" s="14"/>
      <c r="E42" s="15"/>
      <c r="F42" s="15"/>
      <c r="G42" s="15"/>
      <c r="H42" s="16"/>
    </row>
    <row r="43" spans="1:12">
      <c r="C43" s="14"/>
      <c r="D43" s="14"/>
      <c r="E43" s="15"/>
      <c r="F43" s="15"/>
      <c r="G43" s="15"/>
      <c r="H43" s="16"/>
    </row>
    <row r="44" spans="1:12">
      <c r="C44" s="14"/>
      <c r="D44" s="14"/>
      <c r="E44" s="15"/>
      <c r="F44" s="15"/>
      <c r="G44" s="15"/>
      <c r="H44" s="16"/>
    </row>
    <row r="45" spans="1:12">
      <c r="C45" s="14"/>
      <c r="D45" s="14"/>
      <c r="E45" s="15"/>
      <c r="F45" s="15"/>
      <c r="G45" s="15"/>
      <c r="H45" s="16"/>
    </row>
    <row r="46" spans="1:12">
      <c r="C46" s="14"/>
      <c r="D46" s="14"/>
      <c r="E46" s="15"/>
      <c r="F46" s="15"/>
      <c r="G46" s="15"/>
      <c r="H46" s="16"/>
    </row>
    <row r="47" spans="1:12">
      <c r="C47" s="14"/>
      <c r="D47" s="14"/>
      <c r="E47" s="15"/>
      <c r="F47" s="15"/>
      <c r="G47" s="15"/>
      <c r="H47" s="16"/>
    </row>
    <row r="48" spans="1:12">
      <c r="C48" s="14"/>
      <c r="D48" s="14"/>
      <c r="E48" s="15"/>
      <c r="F48" s="15"/>
      <c r="G48" s="15"/>
      <c r="H48" s="16"/>
    </row>
    <row r="49" spans="3:8">
      <c r="C49" s="14"/>
      <c r="D49" s="14"/>
      <c r="E49" s="15"/>
      <c r="F49" s="15"/>
      <c r="G49" s="15"/>
      <c r="H49" s="16"/>
    </row>
    <row r="50" spans="3:8">
      <c r="C50" s="14"/>
      <c r="D50" s="14"/>
      <c r="E50" s="15"/>
      <c r="F50" s="15"/>
      <c r="G50" s="15"/>
      <c r="H50" s="16"/>
    </row>
    <row r="51" spans="3:8">
      <c r="C51" s="14"/>
      <c r="D51" s="14"/>
      <c r="E51" s="15"/>
      <c r="F51" s="15"/>
      <c r="G51" s="15"/>
      <c r="H51" s="16"/>
    </row>
    <row r="52" spans="3:8">
      <c r="C52" s="14"/>
      <c r="D52" s="14"/>
      <c r="E52" s="15"/>
      <c r="F52" s="15"/>
      <c r="G52" s="15"/>
      <c r="H52" s="16"/>
    </row>
    <row r="53" spans="3:8">
      <c r="C53" s="14"/>
      <c r="D53" s="14"/>
      <c r="E53" s="15"/>
      <c r="F53" s="15"/>
      <c r="G53" s="15"/>
      <c r="H53" s="16"/>
    </row>
    <row r="54" spans="3:8">
      <c r="C54" s="14"/>
      <c r="D54" s="14"/>
      <c r="E54" s="15"/>
      <c r="F54" s="15"/>
      <c r="G54" s="15"/>
      <c r="H54" s="16"/>
    </row>
    <row r="55" spans="3:8">
      <c r="C55" s="14"/>
      <c r="D55" s="14"/>
      <c r="E55" s="15"/>
      <c r="F55" s="15"/>
      <c r="G55" s="15"/>
      <c r="H55" s="16"/>
    </row>
    <row r="56" spans="3:8">
      <c r="C56" s="14"/>
      <c r="D56" s="14"/>
      <c r="E56" s="15"/>
      <c r="F56" s="15"/>
      <c r="G56" s="15"/>
      <c r="H56" s="16"/>
    </row>
    <row r="57" spans="3:8">
      <c r="C57" s="14"/>
      <c r="D57" s="14"/>
      <c r="E57" s="15"/>
      <c r="F57" s="15"/>
      <c r="G57" s="15"/>
      <c r="H57" s="16"/>
    </row>
    <row r="58" spans="3:8">
      <c r="C58" s="14"/>
      <c r="D58" s="14"/>
      <c r="E58" s="15"/>
      <c r="F58" s="15"/>
      <c r="G58" s="15"/>
      <c r="H58" s="16"/>
    </row>
    <row r="59" spans="3:8">
      <c r="C59" s="14"/>
      <c r="D59" s="14"/>
      <c r="E59" s="15"/>
      <c r="F59" s="15"/>
      <c r="G59" s="15"/>
      <c r="H59" s="16"/>
    </row>
    <row r="60" spans="3:8">
      <c r="C60" s="14"/>
      <c r="D60" s="14"/>
      <c r="E60" s="15"/>
      <c r="F60" s="15"/>
      <c r="G60" s="15"/>
      <c r="H60" s="16"/>
    </row>
    <row r="61" spans="3:8">
      <c r="C61" s="14"/>
      <c r="D61" s="14"/>
      <c r="E61" s="15"/>
      <c r="F61" s="15"/>
      <c r="G61" s="15"/>
      <c r="H61" s="16"/>
    </row>
    <row r="62" spans="3:8">
      <c r="C62" s="14"/>
      <c r="D62" s="14"/>
      <c r="E62" s="15"/>
      <c r="F62" s="15"/>
      <c r="G62" s="15"/>
      <c r="H62" s="16"/>
    </row>
    <row r="63" spans="3:8">
      <c r="C63" s="14"/>
      <c r="D63" s="14"/>
      <c r="E63" s="15"/>
      <c r="F63" s="15"/>
      <c r="G63" s="15"/>
      <c r="H63" s="16"/>
    </row>
    <row r="64" spans="3:8">
      <c r="C64" s="14"/>
      <c r="D64" s="14"/>
      <c r="E64" s="15"/>
      <c r="F64" s="15"/>
      <c r="G64" s="15"/>
      <c r="H64" s="16"/>
    </row>
    <row r="65" spans="3:8">
      <c r="C65" s="14"/>
      <c r="D65" s="14"/>
      <c r="E65" s="15"/>
      <c r="F65" s="15"/>
      <c r="G65" s="15"/>
      <c r="H65" s="16"/>
    </row>
    <row r="66" spans="3:8">
      <c r="C66" s="14"/>
      <c r="D66" s="14"/>
      <c r="E66" s="15"/>
      <c r="F66" s="15"/>
      <c r="G66" s="15"/>
      <c r="H66" s="16"/>
    </row>
    <row r="67" spans="3:8">
      <c r="C67" s="14"/>
      <c r="D67" s="14"/>
      <c r="E67" s="15"/>
      <c r="F67" s="15"/>
      <c r="G67" s="15"/>
      <c r="H67" s="16"/>
    </row>
    <row r="68" spans="3:8">
      <c r="C68" s="14"/>
      <c r="D68" s="14"/>
      <c r="E68" s="15"/>
      <c r="F68" s="15"/>
      <c r="G68" s="15"/>
      <c r="H68" s="16"/>
    </row>
    <row r="69" spans="3:8">
      <c r="C69" s="14"/>
      <c r="D69" s="14"/>
      <c r="E69" s="15"/>
      <c r="F69" s="15"/>
      <c r="G69" s="15"/>
      <c r="H69" s="16"/>
    </row>
    <row r="70" spans="3:8">
      <c r="C70" s="14"/>
      <c r="D70" s="14"/>
      <c r="E70" s="15"/>
      <c r="F70" s="15"/>
      <c r="G70" s="15"/>
      <c r="H70" s="16"/>
    </row>
    <row r="71" spans="3:8">
      <c r="C71" s="14"/>
      <c r="D71" s="14"/>
      <c r="E71" s="15"/>
      <c r="F71" s="15"/>
      <c r="G71" s="15"/>
      <c r="H71" s="16"/>
    </row>
    <row r="72" spans="3:8">
      <c r="C72" s="14"/>
      <c r="D72" s="14"/>
      <c r="E72" s="15"/>
      <c r="F72" s="15"/>
      <c r="G72" s="15"/>
      <c r="H72" s="16"/>
    </row>
    <row r="73" spans="3:8">
      <c r="C73" s="14"/>
      <c r="D73" s="14"/>
      <c r="E73" s="15"/>
      <c r="F73" s="15"/>
      <c r="G73" s="15"/>
      <c r="H73" s="16"/>
    </row>
    <row r="74" spans="3:8">
      <c r="C74" s="14"/>
      <c r="D74" s="14"/>
      <c r="E74" s="15"/>
      <c r="F74" s="15"/>
      <c r="G74" s="15"/>
      <c r="H74" s="16"/>
    </row>
    <row r="75" spans="3:8">
      <c r="C75" s="14"/>
      <c r="D75" s="14"/>
      <c r="E75" s="15"/>
      <c r="F75" s="15"/>
      <c r="G75" s="15"/>
      <c r="H75" s="16"/>
    </row>
    <row r="76" spans="3:8">
      <c r="C76" s="14"/>
      <c r="D76" s="14"/>
      <c r="E76" s="15"/>
      <c r="F76" s="15"/>
      <c r="G76" s="15"/>
      <c r="H76" s="16"/>
    </row>
    <row r="77" spans="3:8">
      <c r="C77" s="14"/>
      <c r="D77" s="14"/>
      <c r="E77" s="15"/>
      <c r="F77" s="15"/>
      <c r="G77" s="15"/>
      <c r="H77" s="16"/>
    </row>
    <row r="78" spans="3:8">
      <c r="C78" s="14"/>
      <c r="D78" s="14"/>
      <c r="E78" s="15"/>
      <c r="F78" s="15"/>
      <c r="G78" s="15"/>
      <c r="H78" s="16"/>
    </row>
    <row r="79" spans="3:8">
      <c r="C79" s="14"/>
      <c r="D79" s="14"/>
      <c r="E79" s="15"/>
      <c r="F79" s="15"/>
      <c r="G79" s="15"/>
      <c r="H79" s="16"/>
    </row>
    <row r="80" spans="3:8">
      <c r="C80" s="14"/>
      <c r="D80" s="14"/>
      <c r="E80" s="15"/>
      <c r="F80" s="15"/>
      <c r="G80" s="15"/>
      <c r="H80" s="16"/>
    </row>
    <row r="81" spans="3:8">
      <c r="C81" s="14"/>
      <c r="D81" s="14"/>
      <c r="E81" s="15"/>
      <c r="F81" s="15"/>
      <c r="G81" s="15"/>
      <c r="H81" s="16"/>
    </row>
    <row r="82" spans="3:8">
      <c r="C82" s="14"/>
      <c r="D82" s="14"/>
      <c r="E82" s="15"/>
      <c r="F82" s="15"/>
      <c r="G82" s="15"/>
      <c r="H82" s="16"/>
    </row>
    <row r="83" spans="3:8">
      <c r="C83" s="14"/>
      <c r="D83" s="14"/>
      <c r="E83" s="15"/>
      <c r="F83" s="15"/>
      <c r="G83" s="15"/>
      <c r="H83" s="16"/>
    </row>
    <row r="84" spans="3:8">
      <c r="C84" s="14"/>
      <c r="D84" s="14"/>
      <c r="E84" s="15"/>
      <c r="F84" s="15"/>
      <c r="G84" s="15"/>
      <c r="H84" s="16"/>
    </row>
    <row r="85" spans="3:8">
      <c r="C85" s="14"/>
      <c r="D85" s="14"/>
      <c r="E85" s="15"/>
      <c r="F85" s="15"/>
      <c r="G85" s="15"/>
      <c r="H85" s="16"/>
    </row>
    <row r="86" spans="3:8">
      <c r="C86" s="14"/>
      <c r="D86" s="14"/>
      <c r="E86" s="15"/>
      <c r="F86" s="15"/>
      <c r="G86" s="15"/>
      <c r="H86" s="16"/>
    </row>
    <row r="87" spans="3:8">
      <c r="C87" s="14"/>
      <c r="D87" s="14"/>
      <c r="E87" s="15"/>
      <c r="F87" s="15"/>
      <c r="G87" s="15"/>
      <c r="H87" s="16"/>
    </row>
    <row r="88" spans="3:8">
      <c r="C88" s="14"/>
      <c r="D88" s="14"/>
      <c r="E88" s="15"/>
      <c r="F88" s="15"/>
      <c r="G88" s="15"/>
      <c r="H88" s="16"/>
    </row>
    <row r="89" spans="3:8">
      <c r="C89" s="14"/>
      <c r="D89" s="14"/>
      <c r="E89" s="15"/>
      <c r="F89" s="15"/>
      <c r="G89" s="15"/>
      <c r="H89" s="16"/>
    </row>
    <row r="90" spans="3:8">
      <c r="C90" s="14"/>
      <c r="D90" s="14"/>
      <c r="E90" s="15"/>
      <c r="F90" s="15"/>
      <c r="G90" s="15"/>
      <c r="H90" s="16"/>
    </row>
    <row r="91" spans="3:8">
      <c r="C91" s="14"/>
      <c r="D91" s="14"/>
      <c r="E91" s="15"/>
      <c r="F91" s="15"/>
      <c r="G91" s="15"/>
      <c r="H91" s="16"/>
    </row>
    <row r="92" spans="3:8">
      <c r="C92" s="14"/>
      <c r="D92" s="14"/>
      <c r="E92" s="15"/>
      <c r="F92" s="15"/>
      <c r="G92" s="15"/>
      <c r="H92" s="16"/>
    </row>
    <row r="93" spans="3:8">
      <c r="C93" s="14"/>
      <c r="D93" s="14"/>
      <c r="E93" s="15"/>
      <c r="F93" s="15"/>
      <c r="G93" s="15"/>
      <c r="H93" s="16"/>
    </row>
    <row r="94" spans="3:8">
      <c r="C94" s="14"/>
      <c r="D94" s="14"/>
      <c r="E94" s="15"/>
      <c r="F94" s="15"/>
      <c r="G94" s="15"/>
      <c r="H94" s="16"/>
    </row>
    <row r="95" spans="3:8">
      <c r="C95" s="14"/>
      <c r="D95" s="14"/>
      <c r="E95" s="15"/>
      <c r="F95" s="15"/>
      <c r="G95" s="15"/>
      <c r="H95" s="16"/>
    </row>
    <row r="96" spans="3:8">
      <c r="C96" s="14"/>
      <c r="D96" s="14"/>
      <c r="E96" s="15"/>
      <c r="F96" s="15"/>
      <c r="G96" s="15"/>
      <c r="H96" s="16"/>
    </row>
    <row r="97" spans="3:8">
      <c r="C97" s="14"/>
      <c r="D97" s="14"/>
      <c r="E97" s="15"/>
      <c r="F97" s="15"/>
      <c r="G97" s="15"/>
      <c r="H97" s="16"/>
    </row>
    <row r="98" spans="3:8">
      <c r="C98" s="14"/>
      <c r="D98" s="14"/>
      <c r="E98" s="15"/>
      <c r="F98" s="15"/>
      <c r="G98" s="15"/>
      <c r="H98" s="16"/>
    </row>
    <row r="99" spans="3:8">
      <c r="C99" s="14"/>
      <c r="D99" s="14"/>
      <c r="E99" s="15"/>
      <c r="F99" s="15"/>
      <c r="G99" s="15"/>
      <c r="H99" s="16"/>
    </row>
    <row r="100" spans="3:8">
      <c r="C100" s="14"/>
      <c r="D100" s="14"/>
      <c r="E100" s="15"/>
      <c r="F100" s="15"/>
      <c r="G100" s="15"/>
      <c r="H100" s="16"/>
    </row>
    <row r="101" spans="3:8">
      <c r="C101" s="14"/>
      <c r="D101" s="14"/>
      <c r="E101" s="15"/>
      <c r="F101" s="15"/>
      <c r="G101" s="15"/>
      <c r="H101" s="16"/>
    </row>
    <row r="102" spans="3:8">
      <c r="C102" s="14"/>
      <c r="D102" s="14"/>
      <c r="E102" s="15"/>
      <c r="F102" s="15"/>
      <c r="G102" s="15"/>
      <c r="H102" s="16"/>
    </row>
    <row r="103" spans="3:8">
      <c r="C103" s="14"/>
      <c r="D103" s="14"/>
      <c r="E103" s="15"/>
      <c r="F103" s="15"/>
      <c r="G103" s="15"/>
      <c r="H103" s="16"/>
    </row>
    <row r="104" spans="3:8">
      <c r="C104" s="14"/>
      <c r="D104" s="14"/>
      <c r="E104" s="15"/>
      <c r="F104" s="15"/>
      <c r="G104" s="15"/>
      <c r="H104" s="16"/>
    </row>
    <row r="105" spans="3:8">
      <c r="C105" s="14"/>
      <c r="D105" s="14"/>
      <c r="E105" s="15"/>
      <c r="F105" s="15"/>
      <c r="G105" s="15"/>
      <c r="H105" s="16"/>
    </row>
    <row r="106" spans="3:8">
      <c r="C106" s="14"/>
      <c r="D106" s="14"/>
      <c r="E106" s="15"/>
      <c r="F106" s="15"/>
      <c r="G106" s="15"/>
      <c r="H106" s="16"/>
    </row>
    <row r="107" spans="3:8">
      <c r="C107" s="14"/>
      <c r="D107" s="14"/>
      <c r="E107" s="15"/>
      <c r="F107" s="15"/>
      <c r="G107" s="15"/>
      <c r="H107" s="16"/>
    </row>
    <row r="108" spans="3:8">
      <c r="C108" s="14"/>
      <c r="D108" s="14"/>
      <c r="E108" s="15"/>
      <c r="F108" s="15"/>
      <c r="G108" s="15"/>
      <c r="H108" s="16"/>
    </row>
    <row r="109" spans="3:8">
      <c r="C109" s="14"/>
      <c r="D109" s="14"/>
      <c r="E109" s="15"/>
      <c r="F109" s="15"/>
      <c r="G109" s="15"/>
      <c r="H109" s="16"/>
    </row>
    <row r="110" spans="3:8">
      <c r="C110" s="14"/>
      <c r="D110" s="14"/>
      <c r="E110" s="15"/>
      <c r="F110" s="15"/>
      <c r="G110" s="15"/>
      <c r="H110" s="16"/>
    </row>
    <row r="111" spans="3:8">
      <c r="C111" s="14"/>
      <c r="D111" s="14"/>
      <c r="E111" s="15"/>
      <c r="F111" s="15"/>
      <c r="G111" s="15"/>
      <c r="H111" s="16"/>
    </row>
    <row r="112" spans="3:8">
      <c r="C112" s="14"/>
      <c r="D112" s="14"/>
      <c r="E112" s="15"/>
      <c r="F112" s="15"/>
      <c r="G112" s="15"/>
      <c r="H112" s="16"/>
    </row>
    <row r="113" spans="3:8">
      <c r="C113" s="14"/>
      <c r="D113" s="14"/>
      <c r="E113" s="15"/>
      <c r="F113" s="15"/>
      <c r="G113" s="15"/>
      <c r="H113" s="16"/>
    </row>
    <row r="114" spans="3:8">
      <c r="C114" s="14"/>
      <c r="D114" s="14"/>
      <c r="E114" s="15"/>
      <c r="F114" s="15"/>
      <c r="G114" s="15"/>
      <c r="H114" s="16"/>
    </row>
    <row r="115" spans="3:8">
      <c r="C115" s="14"/>
      <c r="D115" s="14"/>
      <c r="E115" s="15"/>
      <c r="F115" s="15"/>
      <c r="G115" s="15"/>
      <c r="H115" s="16"/>
    </row>
    <row r="116" spans="3:8">
      <c r="C116" s="14"/>
      <c r="D116" s="14"/>
      <c r="E116" s="15"/>
      <c r="F116" s="15"/>
      <c r="G116" s="15"/>
      <c r="H116" s="16"/>
    </row>
    <row r="117" spans="3:8">
      <c r="C117" s="14"/>
      <c r="D117" s="14"/>
      <c r="E117" s="15"/>
      <c r="F117" s="15"/>
      <c r="G117" s="15"/>
      <c r="H117" s="16"/>
    </row>
    <row r="118" spans="3:8">
      <c r="C118" s="14"/>
      <c r="D118" s="14"/>
      <c r="E118" s="15"/>
      <c r="F118" s="15"/>
      <c r="G118" s="15"/>
      <c r="H118" s="16"/>
    </row>
    <row r="119" spans="3:8">
      <c r="C119" s="14"/>
      <c r="D119" s="14"/>
      <c r="E119" s="15"/>
      <c r="F119" s="15"/>
      <c r="G119" s="15"/>
      <c r="H119" s="16"/>
    </row>
    <row r="120" spans="3:8">
      <c r="C120" s="14"/>
      <c r="D120" s="14"/>
      <c r="E120" s="15"/>
      <c r="F120" s="15"/>
      <c r="G120" s="15"/>
      <c r="H120" s="16"/>
    </row>
    <row r="121" spans="3:8">
      <c r="C121" s="14"/>
      <c r="D121" s="14"/>
      <c r="E121" s="15"/>
      <c r="F121" s="15"/>
      <c r="G121" s="15"/>
      <c r="H121" s="16"/>
    </row>
    <row r="122" spans="3:8">
      <c r="C122" s="14"/>
      <c r="D122" s="14"/>
      <c r="E122" s="15"/>
      <c r="F122" s="15"/>
      <c r="G122" s="15"/>
      <c r="H122" s="16"/>
    </row>
    <row r="123" spans="3:8">
      <c r="C123" s="14"/>
      <c r="D123" s="14"/>
      <c r="E123" s="15"/>
      <c r="F123" s="15"/>
      <c r="G123" s="15"/>
      <c r="H123" s="16"/>
    </row>
    <row r="124" spans="3:8">
      <c r="C124" s="14"/>
      <c r="D124" s="14"/>
      <c r="E124" s="15"/>
      <c r="F124" s="15"/>
      <c r="G124" s="15"/>
      <c r="H124" s="16"/>
    </row>
    <row r="125" spans="3:8">
      <c r="C125" s="14"/>
      <c r="D125" s="14"/>
      <c r="E125" s="15"/>
      <c r="F125" s="15"/>
      <c r="G125" s="15"/>
      <c r="H125" s="16"/>
    </row>
    <row r="126" spans="3:8">
      <c r="C126" s="14"/>
      <c r="D126" s="14"/>
      <c r="E126" s="15"/>
      <c r="F126" s="15"/>
      <c r="G126" s="15"/>
      <c r="H126" s="16"/>
    </row>
    <row r="127" spans="3:8">
      <c r="C127" s="14"/>
      <c r="D127" s="14"/>
      <c r="E127" s="15"/>
      <c r="F127" s="15"/>
      <c r="G127" s="15"/>
      <c r="H127" s="16"/>
    </row>
    <row r="128" spans="3:8">
      <c r="C128" s="14"/>
      <c r="D128" s="14"/>
      <c r="E128" s="15"/>
      <c r="F128" s="15"/>
      <c r="G128" s="15"/>
      <c r="H128" s="16"/>
    </row>
    <row r="129" spans="3:8">
      <c r="C129" s="14"/>
      <c r="D129" s="14"/>
      <c r="E129" s="15"/>
      <c r="F129" s="15"/>
      <c r="G129" s="15"/>
      <c r="H129" s="16"/>
    </row>
    <row r="130" spans="3:8">
      <c r="C130" s="14"/>
      <c r="D130" s="14"/>
      <c r="E130" s="15"/>
      <c r="F130" s="15"/>
      <c r="G130" s="15"/>
      <c r="H130" s="16"/>
    </row>
    <row r="131" spans="3:8">
      <c r="C131" s="14"/>
      <c r="D131" s="14"/>
      <c r="E131" s="15"/>
      <c r="F131" s="15"/>
      <c r="G131" s="15"/>
      <c r="H131" s="16"/>
    </row>
    <row r="132" spans="3:8">
      <c r="C132" s="14"/>
      <c r="D132" s="14"/>
      <c r="E132" s="15"/>
      <c r="F132" s="15"/>
      <c r="G132" s="15"/>
      <c r="H132" s="16"/>
    </row>
    <row r="133" spans="3:8">
      <c r="C133" s="14"/>
      <c r="D133" s="14"/>
      <c r="E133" s="15"/>
      <c r="F133" s="15"/>
      <c r="G133" s="15"/>
      <c r="H133" s="16"/>
    </row>
    <row r="134" spans="3:8">
      <c r="C134" s="14"/>
      <c r="D134" s="14"/>
      <c r="E134" s="15"/>
      <c r="F134" s="15"/>
      <c r="G134" s="15"/>
      <c r="H134" s="16"/>
    </row>
    <row r="135" spans="3:8">
      <c r="C135" s="14"/>
      <c r="D135" s="14"/>
      <c r="E135" s="15"/>
      <c r="F135" s="15"/>
      <c r="G135" s="15"/>
      <c r="H135" s="16"/>
    </row>
    <row r="136" spans="3:8">
      <c r="C136" s="14"/>
      <c r="D136" s="14"/>
      <c r="E136" s="15"/>
      <c r="F136" s="15"/>
      <c r="G136" s="15"/>
      <c r="H136" s="16"/>
    </row>
    <row r="137" spans="3:8">
      <c r="C137" s="14"/>
      <c r="D137" s="14"/>
      <c r="E137" s="15"/>
      <c r="F137" s="15"/>
      <c r="G137" s="15"/>
      <c r="H137" s="16"/>
    </row>
    <row r="138" spans="3:8">
      <c r="C138" s="14"/>
      <c r="D138" s="14"/>
      <c r="E138" s="15"/>
      <c r="F138" s="15"/>
      <c r="G138" s="15"/>
      <c r="H138" s="16"/>
    </row>
    <row r="139" spans="3:8">
      <c r="C139" s="14"/>
      <c r="D139" s="14"/>
      <c r="E139" s="15"/>
      <c r="F139" s="15"/>
      <c r="G139" s="15"/>
      <c r="H139" s="16"/>
    </row>
    <row r="140" spans="3:8">
      <c r="C140" s="14"/>
      <c r="D140" s="14"/>
      <c r="E140" s="15"/>
      <c r="F140" s="15"/>
      <c r="G140" s="15"/>
      <c r="H140" s="16"/>
    </row>
    <row r="141" spans="3:8">
      <c r="C141" s="14"/>
      <c r="D141" s="14"/>
      <c r="E141" s="15"/>
      <c r="F141" s="15"/>
      <c r="G141" s="15"/>
      <c r="H141" s="16"/>
    </row>
    <row r="142" spans="3:8">
      <c r="C142" s="14"/>
      <c r="D142" s="14"/>
      <c r="E142" s="15"/>
      <c r="F142" s="15"/>
      <c r="G142" s="15"/>
      <c r="H142" s="16"/>
    </row>
    <row r="143" spans="3:8">
      <c r="C143" s="14"/>
      <c r="D143" s="14"/>
      <c r="E143" s="15"/>
      <c r="F143" s="15"/>
      <c r="G143" s="15"/>
      <c r="H143" s="16"/>
    </row>
    <row r="144" spans="3:8">
      <c r="C144" s="14"/>
      <c r="D144" s="14"/>
      <c r="E144" s="15"/>
      <c r="F144" s="15"/>
      <c r="G144" s="15"/>
      <c r="H144" s="16"/>
    </row>
    <row r="145" spans="3:8">
      <c r="C145" s="14"/>
      <c r="D145" s="14"/>
      <c r="E145" s="15"/>
      <c r="F145" s="15"/>
      <c r="G145" s="15"/>
      <c r="H145" s="16"/>
    </row>
    <row r="146" spans="3:8">
      <c r="C146" s="14"/>
      <c r="D146" s="14"/>
      <c r="E146" s="15"/>
      <c r="F146" s="15"/>
      <c r="G146" s="15"/>
      <c r="H146" s="16"/>
    </row>
    <row r="147" spans="3:8">
      <c r="C147" s="14"/>
      <c r="D147" s="14"/>
      <c r="E147" s="15"/>
      <c r="F147" s="15"/>
      <c r="G147" s="15"/>
      <c r="H147" s="16"/>
    </row>
    <row r="148" spans="3:8">
      <c r="C148" s="14"/>
      <c r="D148" s="14"/>
      <c r="E148" s="15"/>
      <c r="F148" s="15"/>
      <c r="G148" s="15"/>
      <c r="H148" s="16"/>
    </row>
    <row r="149" spans="3:8">
      <c r="C149" s="14"/>
      <c r="D149" s="14"/>
      <c r="E149" s="15"/>
      <c r="F149" s="15"/>
      <c r="G149" s="15"/>
      <c r="H149" s="16"/>
    </row>
    <row r="150" spans="3:8">
      <c r="C150" s="14"/>
      <c r="D150" s="14"/>
      <c r="E150" s="15"/>
      <c r="F150" s="15"/>
      <c r="G150" s="15"/>
      <c r="H150" s="16"/>
    </row>
    <row r="151" spans="3:8">
      <c r="C151" s="14"/>
      <c r="D151" s="14"/>
      <c r="E151" s="15"/>
      <c r="F151" s="15"/>
      <c r="G151" s="15"/>
      <c r="H151" s="16"/>
    </row>
    <row r="152" spans="3:8">
      <c r="C152" s="14"/>
      <c r="D152" s="14"/>
      <c r="E152" s="15"/>
      <c r="F152" s="15"/>
      <c r="G152" s="15"/>
      <c r="H152" s="16"/>
    </row>
  </sheetData>
  <mergeCells count="9">
    <mergeCell ref="C28:Q28"/>
    <mergeCell ref="A3:Q3"/>
    <mergeCell ref="A1:Q1"/>
    <mergeCell ref="A26:G26"/>
    <mergeCell ref="H6:L6"/>
    <mergeCell ref="M6:Q6"/>
    <mergeCell ref="A6:A7"/>
    <mergeCell ref="C8:G8"/>
    <mergeCell ref="B6:G6"/>
  </mergeCells>
  <phoneticPr fontId="6" type="noConversion"/>
  <pageMargins left="1" right="0.8" top="0.78700000000000003" bottom="0.5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N12"/>
  <sheetViews>
    <sheetView workbookViewId="0">
      <selection activeCell="M27" sqref="M27"/>
    </sheetView>
  </sheetViews>
  <sheetFormatPr defaultRowHeight="13.2"/>
  <cols>
    <col min="1" max="1" width="5.44140625" bestFit="1" customWidth="1"/>
    <col min="2" max="2" width="7.33203125" customWidth="1"/>
    <col min="3" max="3" width="19.33203125" bestFit="1" customWidth="1"/>
    <col min="4" max="4" width="10.33203125" bestFit="1" customWidth="1"/>
    <col min="5" max="7" width="10.44140625" customWidth="1"/>
    <col min="8" max="8" width="7.44140625" bestFit="1" customWidth="1"/>
    <col min="9" max="13" width="10.44140625" customWidth="1"/>
    <col min="14" max="14" width="11.5546875" customWidth="1"/>
  </cols>
  <sheetData>
    <row r="1" spans="1:14" ht="23.25" customHeight="1">
      <c r="A1" s="543" t="s">
        <v>273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14" ht="72">
      <c r="A2" s="198" t="s">
        <v>241</v>
      </c>
      <c r="B2" s="199" t="s">
        <v>242</v>
      </c>
      <c r="C2" s="199" t="s">
        <v>243</v>
      </c>
      <c r="D2" s="198" t="s">
        <v>274</v>
      </c>
      <c r="E2" s="198" t="s">
        <v>244</v>
      </c>
      <c r="F2" s="198" t="s">
        <v>245</v>
      </c>
      <c r="G2" s="544" t="s">
        <v>246</v>
      </c>
      <c r="H2" s="545"/>
      <c r="I2" s="200" t="s">
        <v>247</v>
      </c>
      <c r="J2" s="544" t="s">
        <v>248</v>
      </c>
      <c r="K2" s="546"/>
      <c r="L2" s="546"/>
      <c r="M2" s="546"/>
      <c r="N2" s="545"/>
    </row>
    <row r="3" spans="1:14" ht="14.4">
      <c r="A3" s="199"/>
      <c r="B3" s="199"/>
      <c r="C3" s="199"/>
      <c r="D3" s="199"/>
      <c r="E3" s="199"/>
      <c r="F3" s="199"/>
      <c r="G3" s="199" t="s">
        <v>249</v>
      </c>
      <c r="H3" s="199" t="s">
        <v>250</v>
      </c>
      <c r="I3" s="199"/>
      <c r="J3" s="547" t="s">
        <v>251</v>
      </c>
      <c r="K3" s="549" t="s">
        <v>252</v>
      </c>
      <c r="L3" s="549"/>
      <c r="M3" s="549"/>
      <c r="N3" s="547" t="s">
        <v>253</v>
      </c>
    </row>
    <row r="4" spans="1:14" ht="57.6">
      <c r="A4" s="199"/>
      <c r="B4" s="199"/>
      <c r="C4" s="199"/>
      <c r="D4" s="199"/>
      <c r="E4" s="199"/>
      <c r="F4" s="199"/>
      <c r="G4" s="199"/>
      <c r="H4" s="199"/>
      <c r="I4" s="199"/>
      <c r="J4" s="548"/>
      <c r="K4" s="199" t="s">
        <v>254</v>
      </c>
      <c r="L4" s="199" t="s">
        <v>255</v>
      </c>
      <c r="M4" s="199" t="s">
        <v>256</v>
      </c>
      <c r="N4" s="548"/>
    </row>
    <row r="5" spans="1:14" ht="14.4">
      <c r="A5" s="199">
        <v>1</v>
      </c>
      <c r="B5" s="199"/>
      <c r="C5" s="199">
        <v>2</v>
      </c>
      <c r="D5" s="199">
        <v>3</v>
      </c>
      <c r="E5" s="199">
        <v>4</v>
      </c>
      <c r="F5" s="199">
        <v>5</v>
      </c>
      <c r="G5" s="199">
        <v>6</v>
      </c>
      <c r="H5" s="199">
        <v>7</v>
      </c>
      <c r="I5" s="199">
        <v>8</v>
      </c>
      <c r="J5" s="199">
        <v>9</v>
      </c>
      <c r="K5" s="199">
        <v>10</v>
      </c>
      <c r="L5" s="199">
        <v>11</v>
      </c>
      <c r="M5" s="199">
        <v>12</v>
      </c>
      <c r="N5" s="199">
        <v>13</v>
      </c>
    </row>
    <row r="6" spans="1:14" ht="14.4">
      <c r="A6" s="201">
        <v>1</v>
      </c>
      <c r="B6" s="202" t="s">
        <v>257</v>
      </c>
      <c r="C6" s="202" t="s">
        <v>258</v>
      </c>
      <c r="D6" s="203">
        <v>688.96</v>
      </c>
      <c r="E6" s="203">
        <v>0</v>
      </c>
      <c r="F6" s="203">
        <f t="shared" ref="F6:F11" si="0">D6-E6</f>
        <v>688.96</v>
      </c>
      <c r="G6" s="204" t="s">
        <v>259</v>
      </c>
      <c r="H6" s="203">
        <f>F6*25%</f>
        <v>172.24</v>
      </c>
      <c r="I6" s="203">
        <f t="shared" ref="I6:I11" si="1">F6-H6</f>
        <v>516.72</v>
      </c>
      <c r="J6" s="203">
        <f t="shared" ref="J6:J11" si="2">I6*2.5%</f>
        <v>12.918000000000001</v>
      </c>
      <c r="K6" s="203">
        <f>J6*80%</f>
        <v>10.334400000000002</v>
      </c>
      <c r="L6" s="203">
        <f>K6*30%</f>
        <v>3.1003200000000004</v>
      </c>
      <c r="M6" s="203">
        <f>K6*70%</f>
        <v>7.2340800000000014</v>
      </c>
      <c r="N6" s="203">
        <f t="shared" ref="N6:N12" si="3">J6*20%</f>
        <v>2.5836000000000006</v>
      </c>
    </row>
    <row r="7" spans="1:14" ht="28.8">
      <c r="A7" s="201">
        <v>2</v>
      </c>
      <c r="B7" s="202" t="s">
        <v>260</v>
      </c>
      <c r="C7" s="202" t="s">
        <v>261</v>
      </c>
      <c r="D7" s="203">
        <v>767.46</v>
      </c>
      <c r="E7" s="203">
        <v>0</v>
      </c>
      <c r="F7" s="203">
        <f t="shared" si="0"/>
        <v>767.46</v>
      </c>
      <c r="G7" s="204" t="s">
        <v>259</v>
      </c>
      <c r="H7" s="203">
        <f>F7*25%</f>
        <v>191.86500000000001</v>
      </c>
      <c r="I7" s="203">
        <f t="shared" si="1"/>
        <v>575.59500000000003</v>
      </c>
      <c r="J7" s="203">
        <f t="shared" si="2"/>
        <v>14.389875000000002</v>
      </c>
      <c r="K7" s="203">
        <f t="shared" ref="K7:K12" si="4">J7*80%</f>
        <v>11.511900000000002</v>
      </c>
      <c r="L7" s="203">
        <f t="shared" ref="L7:L12" si="5">K7*30%</f>
        <v>3.4535700000000005</v>
      </c>
      <c r="M7" s="203">
        <f t="shared" ref="M7:M12" si="6">K7*70%</f>
        <v>8.0583300000000015</v>
      </c>
      <c r="N7" s="203">
        <f t="shared" si="3"/>
        <v>2.8779750000000006</v>
      </c>
    </row>
    <row r="8" spans="1:14" ht="14.4">
      <c r="A8" s="201">
        <v>3</v>
      </c>
      <c r="B8" s="202" t="s">
        <v>262</v>
      </c>
      <c r="C8" s="202" t="s">
        <v>147</v>
      </c>
      <c r="D8" s="203">
        <v>15500</v>
      </c>
      <c r="E8" s="203">
        <v>0</v>
      </c>
      <c r="F8" s="203">
        <f t="shared" si="0"/>
        <v>15500</v>
      </c>
      <c r="G8" s="204" t="s">
        <v>263</v>
      </c>
      <c r="H8" s="203">
        <f>F8*6.32%</f>
        <v>979.60000000000014</v>
      </c>
      <c r="I8" s="203">
        <f t="shared" si="1"/>
        <v>14520.4</v>
      </c>
      <c r="J8" s="203">
        <f t="shared" si="2"/>
        <v>363.01</v>
      </c>
      <c r="K8" s="203">
        <f t="shared" si="4"/>
        <v>290.40800000000002</v>
      </c>
      <c r="L8" s="203">
        <f t="shared" si="5"/>
        <v>87.122399999999999</v>
      </c>
      <c r="M8" s="203">
        <f t="shared" si="6"/>
        <v>203.28559999999999</v>
      </c>
      <c r="N8" s="203">
        <f t="shared" si="3"/>
        <v>72.602000000000004</v>
      </c>
    </row>
    <row r="9" spans="1:14" ht="28.8">
      <c r="A9" s="201">
        <v>4</v>
      </c>
      <c r="B9" s="202" t="s">
        <v>264</v>
      </c>
      <c r="C9" s="202" t="s">
        <v>265</v>
      </c>
      <c r="D9" s="203">
        <v>36600</v>
      </c>
      <c r="E9" s="203">
        <v>0</v>
      </c>
      <c r="F9" s="203">
        <f t="shared" si="0"/>
        <v>36600</v>
      </c>
      <c r="G9" s="204" t="s">
        <v>266</v>
      </c>
      <c r="H9" s="203">
        <f>F9*3.1%</f>
        <v>1134.5999999999999</v>
      </c>
      <c r="I9" s="203">
        <f t="shared" si="1"/>
        <v>35465.4</v>
      </c>
      <c r="J9" s="203">
        <f t="shared" si="2"/>
        <v>886.6350000000001</v>
      </c>
      <c r="K9" s="203">
        <f t="shared" si="4"/>
        <v>709.30800000000011</v>
      </c>
      <c r="L9" s="203">
        <f t="shared" si="5"/>
        <v>212.79240000000001</v>
      </c>
      <c r="M9" s="203">
        <f t="shared" si="6"/>
        <v>496.51560000000006</v>
      </c>
      <c r="N9" s="203">
        <f t="shared" si="3"/>
        <v>177.32700000000003</v>
      </c>
    </row>
    <row r="10" spans="1:14" ht="14.4">
      <c r="A10" s="201">
        <v>5</v>
      </c>
      <c r="B10" s="202" t="s">
        <v>267</v>
      </c>
      <c r="C10" s="202" t="s">
        <v>268</v>
      </c>
      <c r="D10" s="203">
        <v>2850</v>
      </c>
      <c r="E10" s="203">
        <v>0</v>
      </c>
      <c r="F10" s="203">
        <f t="shared" si="0"/>
        <v>2850</v>
      </c>
      <c r="G10" s="204" t="s">
        <v>269</v>
      </c>
      <c r="H10" s="203">
        <f>F10*17.01%</f>
        <v>484.78500000000008</v>
      </c>
      <c r="I10" s="203">
        <f t="shared" si="1"/>
        <v>2365.2150000000001</v>
      </c>
      <c r="J10" s="203">
        <f t="shared" si="2"/>
        <v>59.130375000000008</v>
      </c>
      <c r="K10" s="203">
        <f t="shared" si="4"/>
        <v>47.304300000000012</v>
      </c>
      <c r="L10" s="203">
        <f t="shared" si="5"/>
        <v>14.191290000000004</v>
      </c>
      <c r="M10" s="203">
        <f t="shared" si="6"/>
        <v>33.11301000000001</v>
      </c>
      <c r="N10" s="203">
        <f t="shared" si="3"/>
        <v>11.826075000000003</v>
      </c>
    </row>
    <row r="11" spans="1:14" ht="28.8">
      <c r="A11" s="201">
        <v>6</v>
      </c>
      <c r="B11" s="202" t="s">
        <v>270</v>
      </c>
      <c r="C11" s="202" t="s">
        <v>271</v>
      </c>
      <c r="D11" s="203">
        <v>9348.7800000000007</v>
      </c>
      <c r="E11" s="203">
        <v>9234.77</v>
      </c>
      <c r="F11" s="203">
        <f t="shared" si="0"/>
        <v>114.01000000000022</v>
      </c>
      <c r="G11" s="204" t="s">
        <v>259</v>
      </c>
      <c r="H11" s="203">
        <f>F11*25%</f>
        <v>28.502500000000055</v>
      </c>
      <c r="I11" s="203">
        <f t="shared" si="1"/>
        <v>85.507500000000164</v>
      </c>
      <c r="J11" s="203">
        <f t="shared" si="2"/>
        <v>2.1376875000000042</v>
      </c>
      <c r="K11" s="203">
        <f t="shared" si="4"/>
        <v>1.7101500000000034</v>
      </c>
      <c r="L11" s="203">
        <f t="shared" si="5"/>
        <v>0.51304500000000097</v>
      </c>
      <c r="M11" s="203">
        <f t="shared" si="6"/>
        <v>1.1971050000000023</v>
      </c>
      <c r="N11" s="203">
        <f t="shared" si="3"/>
        <v>0.42753750000000085</v>
      </c>
    </row>
    <row r="12" spans="1:14" ht="18">
      <c r="A12" s="542" t="s">
        <v>272</v>
      </c>
      <c r="B12" s="542"/>
      <c r="C12" s="542"/>
      <c r="D12" s="542"/>
      <c r="E12" s="542"/>
      <c r="F12" s="542"/>
      <c r="G12" s="542"/>
      <c r="H12" s="542"/>
      <c r="I12" s="542"/>
      <c r="J12" s="205">
        <f>SUM(J6:J11)</f>
        <v>1338.2209375000002</v>
      </c>
      <c r="K12" s="206">
        <f t="shared" si="4"/>
        <v>1070.5767500000002</v>
      </c>
      <c r="L12" s="205">
        <f t="shared" si="5"/>
        <v>321.17302500000005</v>
      </c>
      <c r="M12" s="205">
        <f t="shared" si="6"/>
        <v>749.40372500000012</v>
      </c>
      <c r="N12" s="205">
        <f t="shared" si="3"/>
        <v>267.64418750000004</v>
      </c>
    </row>
  </sheetData>
  <mergeCells count="7">
    <mergeCell ref="A12:I12"/>
    <mergeCell ref="A1:N1"/>
    <mergeCell ref="G2:H2"/>
    <mergeCell ref="J2:N2"/>
    <mergeCell ref="J3:J4"/>
    <mergeCell ref="K3:M3"/>
    <mergeCell ref="N3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Q34"/>
  <sheetViews>
    <sheetView view="pageBreakPreview" topLeftCell="A19" zoomScaleSheetLayoutView="100" workbookViewId="0">
      <selection activeCell="M25" sqref="M25:P25"/>
    </sheetView>
  </sheetViews>
  <sheetFormatPr defaultColWidth="9.33203125" defaultRowHeight="13.2"/>
  <cols>
    <col min="1" max="1" width="6.6640625" style="230" customWidth="1"/>
    <col min="2" max="2" width="7.33203125" style="230" customWidth="1"/>
    <col min="3" max="3" width="5.6640625" style="230" customWidth="1"/>
    <col min="4" max="4" width="5.33203125" style="230" customWidth="1"/>
    <col min="5" max="7" width="4.33203125" style="230" customWidth="1"/>
    <col min="8" max="8" width="7.6640625" style="230" customWidth="1"/>
    <col min="9" max="9" width="7.44140625" style="230" customWidth="1"/>
    <col min="10" max="11" width="8.33203125" style="230" customWidth="1"/>
    <col min="12" max="12" width="10.33203125" style="230" customWidth="1"/>
    <col min="13" max="13" width="10" style="230" customWidth="1"/>
    <col min="14" max="14" width="10.33203125" style="230" customWidth="1"/>
    <col min="15" max="15" width="9.33203125" style="230" customWidth="1"/>
    <col min="16" max="17" width="10.33203125" style="230" customWidth="1"/>
    <col min="18" max="16384" width="9.33203125" style="230"/>
  </cols>
  <sheetData>
    <row r="1" spans="1:17" ht="15.6">
      <c r="A1" s="519" t="s">
        <v>98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17" ht="15.6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</row>
    <row r="3" spans="1:17" ht="15.6">
      <c r="A3" s="520" t="s">
        <v>292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0.199999999999999" customHeight="1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7">
      <c r="A5" s="12"/>
      <c r="B5" s="13"/>
      <c r="C5" s="23"/>
      <c r="D5" s="23"/>
      <c r="E5" s="24"/>
      <c r="F5" s="17"/>
      <c r="G5" s="17"/>
      <c r="H5" s="25"/>
      <c r="I5" s="17"/>
      <c r="J5" s="17"/>
      <c r="K5" s="17"/>
      <c r="L5" s="17"/>
      <c r="M5" s="17"/>
      <c r="N5" s="18"/>
      <c r="O5" s="18"/>
      <c r="P5" s="18"/>
      <c r="Q5" s="2" t="s">
        <v>101</v>
      </c>
    </row>
    <row r="6" spans="1:17" ht="13.8">
      <c r="A6" s="534" t="s">
        <v>141</v>
      </c>
      <c r="B6" s="530" t="s">
        <v>94</v>
      </c>
      <c r="C6" s="530"/>
      <c r="D6" s="530"/>
      <c r="E6" s="530"/>
      <c r="F6" s="530"/>
      <c r="G6" s="530"/>
      <c r="H6" s="531" t="s">
        <v>95</v>
      </c>
      <c r="I6" s="550"/>
      <c r="J6" s="550"/>
      <c r="K6" s="550"/>
      <c r="L6" s="551"/>
      <c r="M6" s="531" t="s">
        <v>93</v>
      </c>
      <c r="N6" s="550"/>
      <c r="O6" s="550"/>
      <c r="P6" s="550"/>
      <c r="Q6" s="551"/>
    </row>
    <row r="7" spans="1:17" ht="13.8">
      <c r="A7" s="535"/>
      <c r="B7" s="299" t="s">
        <v>12</v>
      </c>
      <c r="C7" s="178" t="s">
        <v>75</v>
      </c>
      <c r="D7" s="178" t="s">
        <v>12</v>
      </c>
      <c r="E7" s="179" t="s">
        <v>77</v>
      </c>
      <c r="F7" s="178" t="s">
        <v>76</v>
      </c>
      <c r="G7" s="178" t="s">
        <v>78</v>
      </c>
      <c r="H7" s="178" t="s">
        <v>89</v>
      </c>
      <c r="I7" s="178" t="s">
        <v>90</v>
      </c>
      <c r="J7" s="178" t="s">
        <v>91</v>
      </c>
      <c r="K7" s="178" t="s">
        <v>92</v>
      </c>
      <c r="L7" s="178" t="s">
        <v>64</v>
      </c>
      <c r="M7" s="178" t="s">
        <v>89</v>
      </c>
      <c r="N7" s="178" t="s">
        <v>90</v>
      </c>
      <c r="O7" s="178" t="s">
        <v>91</v>
      </c>
      <c r="P7" s="178" t="s">
        <v>92</v>
      </c>
      <c r="Q7" s="178" t="s">
        <v>64</v>
      </c>
    </row>
    <row r="8" spans="1:17" ht="0.6" customHeight="1">
      <c r="A8" s="4"/>
      <c r="B8" s="4"/>
      <c r="C8" s="35" t="s">
        <v>96</v>
      </c>
      <c r="D8" s="35"/>
      <c r="E8" s="35"/>
      <c r="F8" s="35"/>
      <c r="G8" s="35"/>
      <c r="H8" s="145">
        <v>33.999427939621192</v>
      </c>
      <c r="I8" s="145">
        <v>27.998856840688397</v>
      </c>
      <c r="J8" s="145">
        <v>9.0022872800692237</v>
      </c>
      <c r="K8" s="145">
        <v>28.999427939621192</v>
      </c>
      <c r="L8" s="147">
        <f>SUM(H8:K8)</f>
        <v>100</v>
      </c>
      <c r="M8" s="145">
        <v>33.665795454545453</v>
      </c>
      <c r="N8" s="145">
        <v>28.767159090909093</v>
      </c>
      <c r="O8" s="145">
        <v>10.032159090909092</v>
      </c>
      <c r="P8" s="145">
        <v>27.534886363636364</v>
      </c>
      <c r="Q8" s="147">
        <f>SUM(M8:P8)</f>
        <v>100</v>
      </c>
    </row>
    <row r="9" spans="1:17" ht="14.7" customHeight="1">
      <c r="A9" s="125">
        <v>1</v>
      </c>
      <c r="B9" s="36">
        <v>2202</v>
      </c>
      <c r="C9" s="26" t="s">
        <v>73</v>
      </c>
      <c r="D9" s="26" t="s">
        <v>79</v>
      </c>
      <c r="E9" s="26" t="s">
        <v>82</v>
      </c>
      <c r="F9" s="26" t="s">
        <v>84</v>
      </c>
      <c r="G9" s="26" t="s">
        <v>115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20"/>
      <c r="O9" s="126">
        <v>0</v>
      </c>
      <c r="P9" s="126">
        <v>0</v>
      </c>
      <c r="Q9" s="232">
        <f t="shared" ref="Q9:Q17" si="0">SUM(M9:P9)</f>
        <v>0</v>
      </c>
    </row>
    <row r="10" spans="1:17" ht="14.7" customHeight="1">
      <c r="A10" s="125">
        <v>2</v>
      </c>
      <c r="B10" s="36">
        <v>2202</v>
      </c>
      <c r="C10" s="26" t="s">
        <v>73</v>
      </c>
      <c r="D10" s="26" t="s">
        <v>79</v>
      </c>
      <c r="E10" s="26" t="s">
        <v>87</v>
      </c>
      <c r="F10" s="26" t="s">
        <v>83</v>
      </c>
      <c r="G10" s="26" t="s">
        <v>115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20">
        <v>525931</v>
      </c>
      <c r="N10" s="126">
        <v>0</v>
      </c>
      <c r="O10" s="126">
        <v>0</v>
      </c>
      <c r="P10" s="126">
        <v>0</v>
      </c>
      <c r="Q10" s="22">
        <f t="shared" si="0"/>
        <v>525931</v>
      </c>
    </row>
    <row r="11" spans="1:17" ht="14.7" customHeight="1">
      <c r="A11" s="125">
        <v>3</v>
      </c>
      <c r="B11" s="36">
        <v>2202</v>
      </c>
      <c r="C11" s="26" t="s">
        <v>73</v>
      </c>
      <c r="D11" s="26" t="s">
        <v>79</v>
      </c>
      <c r="E11" s="26" t="s">
        <v>87</v>
      </c>
      <c r="F11" s="26" t="s">
        <v>84</v>
      </c>
      <c r="G11" s="26" t="s">
        <v>115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33">
        <v>388144</v>
      </c>
      <c r="O11" s="126">
        <v>0</v>
      </c>
      <c r="P11" s="126">
        <v>0</v>
      </c>
      <c r="Q11" s="22">
        <f t="shared" si="0"/>
        <v>388144</v>
      </c>
    </row>
    <row r="12" spans="1:17" ht="14.7" customHeight="1">
      <c r="A12" s="125">
        <v>4</v>
      </c>
      <c r="B12" s="36">
        <v>2202</v>
      </c>
      <c r="C12" s="26" t="s">
        <v>73</v>
      </c>
      <c r="D12" s="26" t="s">
        <v>79</v>
      </c>
      <c r="E12" s="26" t="s">
        <v>87</v>
      </c>
      <c r="F12" s="26" t="s">
        <v>85</v>
      </c>
      <c r="G12" s="26" t="s">
        <v>115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34">
        <v>115610</v>
      </c>
      <c r="P12" s="126">
        <v>0</v>
      </c>
      <c r="Q12" s="22">
        <f t="shared" si="0"/>
        <v>115610</v>
      </c>
    </row>
    <row r="13" spans="1:17" ht="14.7" customHeight="1">
      <c r="A13" s="125">
        <v>5</v>
      </c>
      <c r="B13" s="36">
        <v>2202</v>
      </c>
      <c r="C13" s="26" t="s">
        <v>73</v>
      </c>
      <c r="D13" s="26" t="s">
        <v>79</v>
      </c>
      <c r="E13" s="26" t="s">
        <v>87</v>
      </c>
      <c r="F13" s="26" t="s">
        <v>86</v>
      </c>
      <c r="G13" s="26" t="s">
        <v>115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35">
        <v>367275</v>
      </c>
      <c r="Q13" s="22">
        <f t="shared" si="0"/>
        <v>367275</v>
      </c>
    </row>
    <row r="14" spans="1:17" ht="14.7" customHeight="1">
      <c r="A14" s="125">
        <v>6</v>
      </c>
      <c r="B14" s="36">
        <v>2202</v>
      </c>
      <c r="C14" s="26" t="s">
        <v>73</v>
      </c>
      <c r="D14" s="26" t="s">
        <v>79</v>
      </c>
      <c r="E14" s="26">
        <v>63</v>
      </c>
      <c r="F14" s="26" t="s">
        <v>83</v>
      </c>
      <c r="G14" s="26" t="s">
        <v>115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36">
        <v>611521</v>
      </c>
      <c r="N14" s="126">
        <v>0</v>
      </c>
      <c r="O14" s="126">
        <v>0</v>
      </c>
      <c r="P14" s="126">
        <v>0</v>
      </c>
      <c r="Q14" s="22">
        <f t="shared" si="0"/>
        <v>611521</v>
      </c>
    </row>
    <row r="15" spans="1:17" ht="14.7" customHeight="1">
      <c r="A15" s="125">
        <v>7</v>
      </c>
      <c r="B15" s="36">
        <v>2202</v>
      </c>
      <c r="C15" s="26" t="s">
        <v>73</v>
      </c>
      <c r="D15" s="26" t="s">
        <v>79</v>
      </c>
      <c r="E15" s="26">
        <v>63</v>
      </c>
      <c r="F15" s="26" t="s">
        <v>84</v>
      </c>
      <c r="G15" s="26" t="s">
        <v>115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37">
        <v>174737</v>
      </c>
      <c r="O15" s="126">
        <v>0</v>
      </c>
      <c r="P15" s="126">
        <v>0</v>
      </c>
      <c r="Q15" s="22">
        <f t="shared" si="0"/>
        <v>174737</v>
      </c>
    </row>
    <row r="16" spans="1:17" ht="14.7" customHeight="1">
      <c r="A16" s="125">
        <v>8</v>
      </c>
      <c r="B16" s="36">
        <v>2202</v>
      </c>
      <c r="C16" s="26" t="s">
        <v>73</v>
      </c>
      <c r="D16" s="26" t="s">
        <v>79</v>
      </c>
      <c r="E16" s="26">
        <v>63</v>
      </c>
      <c r="F16" s="26" t="s">
        <v>85</v>
      </c>
      <c r="G16" s="26" t="s">
        <v>115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/>
      <c r="O16" s="138">
        <v>67137</v>
      </c>
      <c r="P16" s="126">
        <v>0</v>
      </c>
      <c r="Q16" s="22">
        <f t="shared" si="0"/>
        <v>67137</v>
      </c>
    </row>
    <row r="17" spans="1:17" ht="14.7" customHeight="1">
      <c r="A17" s="125">
        <v>9</v>
      </c>
      <c r="B17" s="36">
        <v>2202</v>
      </c>
      <c r="C17" s="26" t="s">
        <v>73</v>
      </c>
      <c r="D17" s="26" t="s">
        <v>79</v>
      </c>
      <c r="E17" s="26">
        <v>63</v>
      </c>
      <c r="F17" s="26" t="s">
        <v>86</v>
      </c>
      <c r="G17" s="26" t="s">
        <v>115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39">
        <v>325175</v>
      </c>
      <c r="Q17" s="22">
        <f t="shared" si="0"/>
        <v>325175</v>
      </c>
    </row>
    <row r="18" spans="1:17" ht="14.7" customHeight="1">
      <c r="A18" s="125">
        <v>10</v>
      </c>
      <c r="B18" s="37">
        <v>2515</v>
      </c>
      <c r="C18" s="26" t="s">
        <v>74</v>
      </c>
      <c r="D18" s="26" t="s">
        <v>81</v>
      </c>
      <c r="E18" s="26" t="s">
        <v>82</v>
      </c>
      <c r="F18" s="26" t="s">
        <v>74</v>
      </c>
      <c r="G18" s="26" t="s">
        <v>115</v>
      </c>
      <c r="H18" s="175">
        <f>L18*35.25%</f>
        <v>25835.077499999999</v>
      </c>
      <c r="I18" s="175">
        <f>L18*28.67%</f>
        <v>21012.529699999999</v>
      </c>
      <c r="J18" s="175">
        <f>L18*8.5%</f>
        <v>6229.7350000000006</v>
      </c>
      <c r="K18" s="175">
        <f>L18*27.58%</f>
        <v>20213.657800000001</v>
      </c>
      <c r="L18" s="146">
        <v>73291</v>
      </c>
      <c r="M18" s="126">
        <v>0</v>
      </c>
      <c r="N18" s="126">
        <v>0</v>
      </c>
      <c r="O18" s="126">
        <v>0</v>
      </c>
      <c r="P18" s="126">
        <v>0</v>
      </c>
      <c r="Q18" s="126"/>
    </row>
    <row r="19" spans="1:17" ht="14.7" customHeight="1">
      <c r="A19" s="125">
        <v>11</v>
      </c>
      <c r="B19" s="37">
        <v>2515</v>
      </c>
      <c r="C19" s="26" t="s">
        <v>74</v>
      </c>
      <c r="D19" s="26" t="s">
        <v>81</v>
      </c>
      <c r="E19" s="26" t="s">
        <v>82</v>
      </c>
      <c r="F19" s="26" t="s">
        <v>74</v>
      </c>
      <c r="G19" s="26" t="s">
        <v>88</v>
      </c>
      <c r="H19" s="175">
        <f t="shared" ref="H19:H20" si="1">L19*35.25%</f>
        <v>423</v>
      </c>
      <c r="I19" s="175">
        <f t="shared" ref="I19:I20" si="2">L19*28.67%</f>
        <v>344.04</v>
      </c>
      <c r="J19" s="175">
        <f t="shared" ref="J19:J20" si="3">L19*8.5%</f>
        <v>102.00000000000001</v>
      </c>
      <c r="K19" s="175">
        <f t="shared" ref="K19:K24" si="4">L19*27.58%</f>
        <v>330.96</v>
      </c>
      <c r="L19" s="146">
        <v>1200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</row>
    <row r="20" spans="1:17" ht="14.7" customHeight="1">
      <c r="A20" s="125">
        <v>12</v>
      </c>
      <c r="B20" s="37">
        <v>2515</v>
      </c>
      <c r="C20" s="26" t="s">
        <v>74</v>
      </c>
      <c r="D20" s="26" t="s">
        <v>81</v>
      </c>
      <c r="E20" s="26" t="s">
        <v>82</v>
      </c>
      <c r="F20" s="26" t="s">
        <v>74</v>
      </c>
      <c r="G20" s="26" t="s">
        <v>102</v>
      </c>
      <c r="H20" s="175">
        <f t="shared" si="1"/>
        <v>542.85</v>
      </c>
      <c r="I20" s="175">
        <f t="shared" si="2"/>
        <v>441.51800000000003</v>
      </c>
      <c r="J20" s="175">
        <f t="shared" si="3"/>
        <v>130.9</v>
      </c>
      <c r="K20" s="175">
        <f t="shared" si="4"/>
        <v>424.73199999999997</v>
      </c>
      <c r="L20" s="152">
        <v>1540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</row>
    <row r="21" spans="1:17" ht="14.7" customHeight="1">
      <c r="A21" s="125">
        <v>13</v>
      </c>
      <c r="B21" s="37">
        <v>2515</v>
      </c>
      <c r="C21" s="26" t="s">
        <v>74</v>
      </c>
      <c r="D21" s="26" t="s">
        <v>79</v>
      </c>
      <c r="E21" s="26" t="s">
        <v>82</v>
      </c>
      <c r="F21" s="26" t="s">
        <v>74</v>
      </c>
      <c r="G21" s="26" t="s">
        <v>115</v>
      </c>
      <c r="H21" s="232">
        <f t="shared" ref="H21:H24" si="5">L21*35.25%</f>
        <v>0</v>
      </c>
      <c r="I21" s="232">
        <f t="shared" ref="I21:I24" si="6">L21*28.67%</f>
        <v>0</v>
      </c>
      <c r="J21" s="232">
        <f t="shared" ref="J21:J24" si="7">L21*8.5%</f>
        <v>0</v>
      </c>
      <c r="K21" s="232">
        <f t="shared" si="4"/>
        <v>0</v>
      </c>
      <c r="L21" s="126">
        <v>0</v>
      </c>
      <c r="M21" s="192">
        <f>ROUND($Q21*35.25%,0)</f>
        <v>56422</v>
      </c>
      <c r="N21" s="127">
        <f>ROUND($Q21*28.67%,0)</f>
        <v>45890</v>
      </c>
      <c r="O21" s="192">
        <f>ROUND($Q21*8.5%,0)</f>
        <v>13605</v>
      </c>
      <c r="P21" s="127">
        <f>ROUNDUP($Q21*27.58%,0)</f>
        <v>44146</v>
      </c>
      <c r="Q21" s="140">
        <v>160062</v>
      </c>
    </row>
    <row r="22" spans="1:17" ht="14.7" customHeight="1">
      <c r="A22" s="125">
        <v>14</v>
      </c>
      <c r="B22" s="37">
        <v>2515</v>
      </c>
      <c r="C22" s="26" t="s">
        <v>74</v>
      </c>
      <c r="D22" s="26" t="s">
        <v>79</v>
      </c>
      <c r="E22" s="26" t="s">
        <v>82</v>
      </c>
      <c r="F22" s="26" t="s">
        <v>74</v>
      </c>
      <c r="G22" s="26" t="s">
        <v>102</v>
      </c>
      <c r="H22" s="232">
        <f t="shared" si="5"/>
        <v>0</v>
      </c>
      <c r="I22" s="232">
        <f t="shared" si="6"/>
        <v>0</v>
      </c>
      <c r="J22" s="232">
        <f t="shared" si="7"/>
        <v>0</v>
      </c>
      <c r="K22" s="232">
        <f t="shared" si="4"/>
        <v>0</v>
      </c>
      <c r="L22" s="126">
        <v>0</v>
      </c>
      <c r="M22" s="192">
        <f t="shared" ref="M22:M23" si="8">ROUND($Q22*35.25%,0)</f>
        <v>2288</v>
      </c>
      <c r="N22" s="127">
        <f t="shared" ref="N22:N23" si="9">ROUND($Q22*28.67%,0)</f>
        <v>1861</v>
      </c>
      <c r="O22" s="192">
        <f t="shared" ref="O22:O23" si="10">ROUND($Q22*8.5%,0)</f>
        <v>552</v>
      </c>
      <c r="P22" s="127">
        <f t="shared" ref="P22:P23" si="11">ROUNDUP($Q22*27.58%,0)</f>
        <v>1791</v>
      </c>
      <c r="Q22" s="140">
        <v>6491</v>
      </c>
    </row>
    <row r="23" spans="1:17" ht="14.7" customHeight="1">
      <c r="A23" s="125">
        <v>15</v>
      </c>
      <c r="B23" s="37">
        <v>2505</v>
      </c>
      <c r="C23" s="26" t="s">
        <v>214</v>
      </c>
      <c r="D23" s="26" t="s">
        <v>134</v>
      </c>
      <c r="E23" s="26" t="s">
        <v>135</v>
      </c>
      <c r="F23" s="26" t="s">
        <v>74</v>
      </c>
      <c r="G23" s="26" t="s">
        <v>136</v>
      </c>
      <c r="H23" s="232">
        <f t="shared" si="5"/>
        <v>0</v>
      </c>
      <c r="I23" s="232">
        <f t="shared" si="6"/>
        <v>0</v>
      </c>
      <c r="J23" s="232">
        <f t="shared" si="7"/>
        <v>0</v>
      </c>
      <c r="K23" s="232">
        <f t="shared" si="4"/>
        <v>0</v>
      </c>
      <c r="L23" s="126">
        <v>0</v>
      </c>
      <c r="M23" s="192">
        <f t="shared" si="8"/>
        <v>528750</v>
      </c>
      <c r="N23" s="127">
        <f t="shared" si="9"/>
        <v>430050</v>
      </c>
      <c r="O23" s="192">
        <f t="shared" si="10"/>
        <v>127500</v>
      </c>
      <c r="P23" s="127">
        <f t="shared" si="11"/>
        <v>413700</v>
      </c>
      <c r="Q23" s="141">
        <v>1500000</v>
      </c>
    </row>
    <row r="24" spans="1:17" ht="14.7" customHeight="1">
      <c r="A24" s="125">
        <v>16</v>
      </c>
      <c r="B24" s="21">
        <v>3604</v>
      </c>
      <c r="C24" s="130" t="s">
        <v>74</v>
      </c>
      <c r="D24" s="130" t="s">
        <v>80</v>
      </c>
      <c r="E24" s="130" t="s">
        <v>215</v>
      </c>
      <c r="F24" s="130" t="s">
        <v>216</v>
      </c>
      <c r="G24" s="130" t="s">
        <v>88</v>
      </c>
      <c r="H24" s="175">
        <f t="shared" si="5"/>
        <v>12955.785</v>
      </c>
      <c r="I24" s="175">
        <f t="shared" si="6"/>
        <v>10537.371800000001</v>
      </c>
      <c r="J24" s="175">
        <f t="shared" si="7"/>
        <v>3124.09</v>
      </c>
      <c r="K24" s="175">
        <f t="shared" si="4"/>
        <v>10136.753199999999</v>
      </c>
      <c r="L24" s="131">
        <v>36754</v>
      </c>
      <c r="M24" s="181">
        <v>0</v>
      </c>
      <c r="N24" s="181">
        <v>0</v>
      </c>
      <c r="O24" s="181">
        <v>0</v>
      </c>
      <c r="P24" s="181">
        <v>0</v>
      </c>
      <c r="Q24" s="193">
        <f>SUM(M24:P24)</f>
        <v>0</v>
      </c>
    </row>
    <row r="25" spans="1:17" ht="14.7" customHeight="1">
      <c r="A25" s="125">
        <v>17</v>
      </c>
      <c r="B25" s="21">
        <v>3604</v>
      </c>
      <c r="C25" s="130" t="s">
        <v>74</v>
      </c>
      <c r="D25" s="130" t="s">
        <v>80</v>
      </c>
      <c r="E25" s="130" t="s">
        <v>215</v>
      </c>
      <c r="F25" s="130" t="s">
        <v>216</v>
      </c>
      <c r="G25" s="130" t="s">
        <v>102</v>
      </c>
      <c r="H25" s="181">
        <v>0</v>
      </c>
      <c r="I25" s="181">
        <v>0</v>
      </c>
      <c r="J25" s="181">
        <v>0</v>
      </c>
      <c r="K25" s="181">
        <v>0</v>
      </c>
      <c r="L25" s="182">
        <v>0</v>
      </c>
      <c r="M25" s="192">
        <f>ROUND($Q25*35.25%,0)</f>
        <v>30230</v>
      </c>
      <c r="N25" s="192">
        <f>ROUND($Q25*28.67%,0)</f>
        <v>24587</v>
      </c>
      <c r="O25" s="192">
        <f>ROUND($Q25*8.5%,0)</f>
        <v>7290</v>
      </c>
      <c r="P25" s="192">
        <f>ROUND($Q25*27.58%,0)</f>
        <v>23652</v>
      </c>
      <c r="Q25" s="132">
        <v>85759</v>
      </c>
    </row>
    <row r="26" spans="1:17" ht="14.7" customHeight="1">
      <c r="A26" s="125">
        <v>18</v>
      </c>
      <c r="B26" s="21">
        <v>3604</v>
      </c>
      <c r="C26" s="130" t="s">
        <v>74</v>
      </c>
      <c r="D26" s="130" t="s">
        <v>80</v>
      </c>
      <c r="E26" s="130" t="s">
        <v>217</v>
      </c>
      <c r="F26" s="130" t="s">
        <v>133</v>
      </c>
      <c r="G26" s="130" t="s">
        <v>102</v>
      </c>
      <c r="H26" s="181">
        <v>0</v>
      </c>
      <c r="I26" s="181">
        <v>0</v>
      </c>
      <c r="J26" s="181">
        <v>0</v>
      </c>
      <c r="K26" s="181">
        <v>0</v>
      </c>
      <c r="L26" s="182">
        <f>SUM(H26:K26)</f>
        <v>0</v>
      </c>
      <c r="M26" s="192">
        <f t="shared" ref="M26:M31" si="12">ROUND($Q26*35.25%,0)</f>
        <v>104587</v>
      </c>
      <c r="N26" s="192">
        <f t="shared" ref="N26:N31" si="13">ROUND($Q26*28.67%,0)</f>
        <v>85064</v>
      </c>
      <c r="O26" s="192">
        <f t="shared" ref="O26:O31" si="14">ROUND($Q26*8.5%,0)</f>
        <v>25220</v>
      </c>
      <c r="P26" s="192">
        <f t="shared" ref="P26:P31" si="15">ROUND($Q26*27.58%,0)</f>
        <v>81830</v>
      </c>
      <c r="Q26" s="132">
        <v>296700</v>
      </c>
    </row>
    <row r="27" spans="1:17" ht="14.7" customHeight="1">
      <c r="A27" s="125">
        <v>19</v>
      </c>
      <c r="B27" s="21">
        <v>3604</v>
      </c>
      <c r="C27" s="130" t="s">
        <v>74</v>
      </c>
      <c r="D27" s="130" t="s">
        <v>80</v>
      </c>
      <c r="E27" s="130" t="s">
        <v>225</v>
      </c>
      <c r="F27" s="130" t="s">
        <v>226</v>
      </c>
      <c r="G27" s="130" t="s">
        <v>102</v>
      </c>
      <c r="H27" s="181">
        <v>0</v>
      </c>
      <c r="I27" s="181">
        <v>0</v>
      </c>
      <c r="J27" s="181">
        <v>0</v>
      </c>
      <c r="K27" s="181">
        <v>0</v>
      </c>
      <c r="L27" s="182">
        <f>SUM(H27:K27)</f>
        <v>0</v>
      </c>
      <c r="M27" s="192">
        <f t="shared" si="12"/>
        <v>13184</v>
      </c>
      <c r="N27" s="192">
        <f t="shared" si="13"/>
        <v>10723</v>
      </c>
      <c r="O27" s="192">
        <f t="shared" si="14"/>
        <v>3179</v>
      </c>
      <c r="P27" s="192">
        <f t="shared" si="15"/>
        <v>10315</v>
      </c>
      <c r="Q27" s="132">
        <v>37400</v>
      </c>
    </row>
    <row r="28" spans="1:17" ht="14.7" customHeight="1">
      <c r="A28" s="125">
        <v>20</v>
      </c>
      <c r="B28" s="21">
        <v>3604</v>
      </c>
      <c r="C28" s="130" t="s">
        <v>74</v>
      </c>
      <c r="D28" s="130" t="s">
        <v>80</v>
      </c>
      <c r="E28" s="130" t="s">
        <v>231</v>
      </c>
      <c r="F28" s="130" t="s">
        <v>216</v>
      </c>
      <c r="G28" s="130" t="s">
        <v>88</v>
      </c>
      <c r="H28" s="192">
        <f>ROUND($L28*35.25%,0)</f>
        <v>8528</v>
      </c>
      <c r="I28" s="192">
        <f>ROUND($L28*8.5%,0)</f>
        <v>2056</v>
      </c>
      <c r="J28" s="192">
        <f>ROUND($L28*28.67%,0)</f>
        <v>6936</v>
      </c>
      <c r="K28" s="192">
        <f>ROUND($L28*27.58%,0)</f>
        <v>6672</v>
      </c>
      <c r="L28" s="194">
        <v>24192</v>
      </c>
      <c r="M28" s="232">
        <f t="shared" si="12"/>
        <v>0</v>
      </c>
      <c r="N28" s="232">
        <f t="shared" si="13"/>
        <v>0</v>
      </c>
      <c r="O28" s="232">
        <f t="shared" si="14"/>
        <v>0</v>
      </c>
      <c r="P28" s="232">
        <f t="shared" si="15"/>
        <v>0</v>
      </c>
      <c r="Q28" s="233">
        <v>0</v>
      </c>
    </row>
    <row r="29" spans="1:17" ht="14.7" customHeight="1">
      <c r="A29" s="125">
        <v>21</v>
      </c>
      <c r="B29" s="21">
        <v>3604</v>
      </c>
      <c r="C29" s="130" t="s">
        <v>74</v>
      </c>
      <c r="D29" s="130" t="s">
        <v>80</v>
      </c>
      <c r="E29" s="130" t="s">
        <v>231</v>
      </c>
      <c r="F29" s="130" t="s">
        <v>216</v>
      </c>
      <c r="G29" s="130" t="s">
        <v>102</v>
      </c>
      <c r="H29" s="232">
        <f t="shared" ref="H29:H30" si="16">ROUND($L29*35.25%,0)</f>
        <v>0</v>
      </c>
      <c r="I29" s="232">
        <f t="shared" ref="I29:I30" si="17">ROUND($L29*8.5%,0)</f>
        <v>0</v>
      </c>
      <c r="J29" s="232">
        <f t="shared" ref="J29:J30" si="18">ROUND($L29*28.67%,0)</f>
        <v>0</v>
      </c>
      <c r="K29" s="232">
        <f t="shared" ref="K29:K30" si="19">ROUND($L29*27.58%,0)</f>
        <v>0</v>
      </c>
      <c r="L29" s="181">
        <v>0</v>
      </c>
      <c r="M29" s="192">
        <f t="shared" si="12"/>
        <v>18054</v>
      </c>
      <c r="N29" s="192">
        <f t="shared" si="13"/>
        <v>14684</v>
      </c>
      <c r="O29" s="192">
        <f t="shared" si="14"/>
        <v>4354</v>
      </c>
      <c r="P29" s="192">
        <f t="shared" si="15"/>
        <v>14126</v>
      </c>
      <c r="Q29" s="132">
        <v>51218</v>
      </c>
    </row>
    <row r="30" spans="1:17" ht="14.7" customHeight="1">
      <c r="A30" s="125">
        <v>22</v>
      </c>
      <c r="B30" s="21">
        <v>3604</v>
      </c>
      <c r="C30" s="130" t="s">
        <v>74</v>
      </c>
      <c r="D30" s="130" t="s">
        <v>80</v>
      </c>
      <c r="E30" s="130" t="s">
        <v>231</v>
      </c>
      <c r="F30" s="130" t="s">
        <v>226</v>
      </c>
      <c r="G30" s="130" t="s">
        <v>88</v>
      </c>
      <c r="H30" s="192">
        <f t="shared" si="16"/>
        <v>3655</v>
      </c>
      <c r="I30" s="192">
        <f t="shared" si="17"/>
        <v>881</v>
      </c>
      <c r="J30" s="192">
        <f t="shared" si="18"/>
        <v>2973</v>
      </c>
      <c r="K30" s="192">
        <f t="shared" si="19"/>
        <v>2859</v>
      </c>
      <c r="L30" s="194">
        <v>10368</v>
      </c>
      <c r="M30" s="232">
        <f t="shared" si="12"/>
        <v>0</v>
      </c>
      <c r="N30" s="232">
        <f t="shared" si="13"/>
        <v>0</v>
      </c>
      <c r="O30" s="232">
        <f t="shared" si="14"/>
        <v>0</v>
      </c>
      <c r="P30" s="232">
        <f t="shared" si="15"/>
        <v>0</v>
      </c>
      <c r="Q30" s="233">
        <v>0</v>
      </c>
    </row>
    <row r="31" spans="1:17" ht="14.7" customHeight="1">
      <c r="A31" s="125">
        <v>23</v>
      </c>
      <c r="B31" s="21">
        <v>3604</v>
      </c>
      <c r="C31" s="130" t="s">
        <v>74</v>
      </c>
      <c r="D31" s="130" t="s">
        <v>80</v>
      </c>
      <c r="E31" s="130" t="s">
        <v>231</v>
      </c>
      <c r="F31" s="130" t="s">
        <v>226</v>
      </c>
      <c r="G31" s="130" t="s">
        <v>102</v>
      </c>
      <c r="H31" s="232">
        <v>0</v>
      </c>
      <c r="I31" s="232">
        <v>0</v>
      </c>
      <c r="J31" s="232">
        <v>0</v>
      </c>
      <c r="K31" s="232">
        <v>0</v>
      </c>
      <c r="L31" s="196">
        <v>0</v>
      </c>
      <c r="M31" s="192">
        <f t="shared" si="12"/>
        <v>7738</v>
      </c>
      <c r="N31" s="192">
        <f t="shared" si="13"/>
        <v>6293</v>
      </c>
      <c r="O31" s="192">
        <f t="shared" si="14"/>
        <v>1866</v>
      </c>
      <c r="P31" s="192">
        <f t="shared" si="15"/>
        <v>6054</v>
      </c>
      <c r="Q31" s="132">
        <v>21951</v>
      </c>
    </row>
    <row r="32" spans="1:17" ht="14.7" customHeight="1">
      <c r="A32" s="539" t="s">
        <v>64</v>
      </c>
      <c r="B32" s="540"/>
      <c r="C32" s="540"/>
      <c r="D32" s="540"/>
      <c r="E32" s="540"/>
      <c r="F32" s="540"/>
      <c r="G32" s="541"/>
      <c r="H32" s="231">
        <f>H9+H10+H11+H12+H13+H14+H15+H16+H17+H18+H19+H20+H21+H22+H23+H24+H25+H26+H27+H28+H29+H30+H31</f>
        <v>51939.712499999994</v>
      </c>
      <c r="I32" s="19">
        <f t="shared" ref="I32:K32" si="20">SUM(I9:I31)</f>
        <v>35272.459499999997</v>
      </c>
      <c r="J32" s="231">
        <f t="shared" si="20"/>
        <v>19495.724999999999</v>
      </c>
      <c r="K32" s="231">
        <f t="shared" si="20"/>
        <v>40637.103000000003</v>
      </c>
      <c r="L32" s="19">
        <f>SUM(L9:L31)</f>
        <v>147345</v>
      </c>
      <c r="M32" s="19">
        <f t="shared" ref="M32:Q32" si="21">SUM(M9:M31)</f>
        <v>1898705</v>
      </c>
      <c r="N32" s="19">
        <f t="shared" si="21"/>
        <v>1182033</v>
      </c>
      <c r="O32" s="19">
        <f t="shared" si="21"/>
        <v>366313</v>
      </c>
      <c r="P32" s="19">
        <f t="shared" si="21"/>
        <v>1288064</v>
      </c>
      <c r="Q32" s="19">
        <f t="shared" si="21"/>
        <v>4735111</v>
      </c>
    </row>
    <row r="33" spans="1:17" ht="13.8">
      <c r="A33" s="27"/>
      <c r="B33" s="28"/>
      <c r="C33" s="29"/>
      <c r="D33" s="29"/>
      <c r="E33" s="30"/>
      <c r="F33" s="30"/>
      <c r="G33" s="30"/>
      <c r="H33" s="31"/>
      <c r="I33" s="32"/>
      <c r="J33" s="32"/>
      <c r="K33" s="32"/>
      <c r="L33" s="32"/>
      <c r="M33" s="32"/>
      <c r="N33" s="33"/>
      <c r="O33" s="33"/>
      <c r="P33" s="33"/>
      <c r="Q33" s="33"/>
    </row>
    <row r="34" spans="1:17">
      <c r="A34" s="5" t="s">
        <v>138</v>
      </c>
      <c r="B34" s="6"/>
      <c r="C34" s="518" t="s">
        <v>139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</row>
  </sheetData>
  <mergeCells count="8">
    <mergeCell ref="A32:G32"/>
    <mergeCell ref="C34:Q34"/>
    <mergeCell ref="A1:Q1"/>
    <mergeCell ref="A3:Q3"/>
    <mergeCell ref="A6:A7"/>
    <mergeCell ref="B6:G6"/>
    <mergeCell ref="H6:L6"/>
    <mergeCell ref="M6:Q6"/>
  </mergeCells>
  <printOptions horizontalCentered="1"/>
  <pageMargins left="0.98425196850393704" right="0.98425196850393704" top="0.59055118110236227" bottom="0.98425196850393704" header="0.51181102362204722" footer="0.59055118110236227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Q96"/>
  <sheetViews>
    <sheetView topLeftCell="A40" zoomScale="98" zoomScaleNormal="98" zoomScaleSheetLayoutView="85" workbookViewId="0">
      <selection activeCell="D66" sqref="D66"/>
    </sheetView>
  </sheetViews>
  <sheetFormatPr defaultColWidth="9.33203125" defaultRowHeight="13.2"/>
  <cols>
    <col min="1" max="1" width="9.44140625" style="55" bestFit="1" customWidth="1"/>
    <col min="2" max="2" width="30" style="55" customWidth="1"/>
    <col min="3" max="3" width="10.554687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9.33203125" style="55" customWidth="1"/>
    <col min="10" max="11" width="10.5546875" style="55" bestFit="1" customWidth="1"/>
    <col min="12" max="12" width="9.44140625" style="55" bestFit="1" customWidth="1"/>
    <col min="13" max="13" width="10.554687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D73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D74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>
      <c r="A23" s="80"/>
      <c r="B23" s="79"/>
      <c r="C23" s="78"/>
      <c r="D23" s="78"/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371" t="s">
        <v>156</v>
      </c>
      <c r="G28" s="372" t="s">
        <v>155</v>
      </c>
      <c r="H28" s="485"/>
      <c r="I28" s="508"/>
      <c r="J28" s="493"/>
      <c r="K28" s="493"/>
      <c r="M28" s="70"/>
    </row>
    <row r="29" spans="1:13" ht="22.5" customHeight="1">
      <c r="A29" s="371">
        <v>1</v>
      </c>
      <c r="B29" s="372">
        <v>2</v>
      </c>
      <c r="C29" s="371">
        <v>3</v>
      </c>
      <c r="D29" s="373">
        <v>4</v>
      </c>
      <c r="E29" s="373">
        <v>5</v>
      </c>
      <c r="F29" s="371">
        <v>6</v>
      </c>
      <c r="G29" s="372">
        <v>7</v>
      </c>
      <c r="H29" s="374">
        <v>8</v>
      </c>
      <c r="I29" s="374">
        <v>9</v>
      </c>
      <c r="J29" s="369">
        <v>10</v>
      </c>
      <c r="K29" s="369">
        <v>11</v>
      </c>
      <c r="M29" s="70"/>
    </row>
    <row r="30" spans="1:13">
      <c r="A30" s="381" t="s">
        <v>304</v>
      </c>
      <c r="B30" s="378" t="s">
        <v>313</v>
      </c>
      <c r="C30" s="379">
        <v>0</v>
      </c>
      <c r="D30" s="382">
        <v>0</v>
      </c>
      <c r="E30" s="373">
        <f t="shared" ref="E30" si="1">C30-D30</f>
        <v>0</v>
      </c>
      <c r="F30" s="383">
        <v>3.1</v>
      </c>
      <c r="G30" s="384">
        <f t="shared" ref="G30" si="2">E30*F30/100</f>
        <v>0</v>
      </c>
      <c r="H30" s="108">
        <f t="shared" ref="H30" si="3">E30-G30</f>
        <v>0</v>
      </c>
      <c r="I30" s="108">
        <f t="shared" ref="I30" si="4">H30*0.025</f>
        <v>0</v>
      </c>
      <c r="J30" s="385">
        <f t="shared" ref="J30" si="5">I30*0.8</f>
        <v>0</v>
      </c>
      <c r="K30" s="385">
        <f t="shared" ref="K30" si="6">I30-J30</f>
        <v>0</v>
      </c>
      <c r="M30" s="70"/>
    </row>
    <row r="31" spans="1:13">
      <c r="A31" s="66">
        <v>29</v>
      </c>
      <c r="B31" s="64" t="s">
        <v>59</v>
      </c>
      <c r="C31" s="170">
        <v>70896</v>
      </c>
      <c r="D31" s="170">
        <v>0</v>
      </c>
      <c r="E31" s="69">
        <f t="shared" ref="E31:E36" si="7">C31-D31</f>
        <v>70896</v>
      </c>
      <c r="F31" s="69">
        <v>25</v>
      </c>
      <c r="G31" s="56">
        <f t="shared" ref="G31:G36" si="8">E31*F31/100</f>
        <v>17724</v>
      </c>
      <c r="H31" s="56">
        <f t="shared" ref="H31:H35" si="9">E31-G31</f>
        <v>53172</v>
      </c>
      <c r="I31" s="56">
        <f t="shared" ref="I31:I36" si="10">H31*0.025</f>
        <v>1329.3000000000002</v>
      </c>
      <c r="J31" s="56">
        <f t="shared" ref="J31:J36" si="11">I31*0.8</f>
        <v>1063.4400000000003</v>
      </c>
      <c r="K31" s="56">
        <f t="shared" ref="K31:K36" si="12">I31-J31</f>
        <v>265.8599999999999</v>
      </c>
    </row>
    <row r="32" spans="1:13">
      <c r="A32" s="66">
        <v>30</v>
      </c>
      <c r="B32" s="64" t="s">
        <v>148</v>
      </c>
      <c r="C32" s="170">
        <v>78246</v>
      </c>
      <c r="D32" s="170">
        <v>0</v>
      </c>
      <c r="E32" s="69">
        <f t="shared" si="7"/>
        <v>78246</v>
      </c>
      <c r="F32" s="69">
        <v>25</v>
      </c>
      <c r="G32" s="56">
        <f t="shared" si="8"/>
        <v>19561.5</v>
      </c>
      <c r="H32" s="56">
        <f t="shared" si="9"/>
        <v>58684.5</v>
      </c>
      <c r="I32" s="56">
        <f t="shared" si="10"/>
        <v>1467.1125000000002</v>
      </c>
      <c r="J32" s="56">
        <f t="shared" si="11"/>
        <v>1173.6900000000003</v>
      </c>
      <c r="K32" s="56">
        <f t="shared" si="12"/>
        <v>293.4224999999999</v>
      </c>
    </row>
    <row r="33" spans="1:11">
      <c r="A33" s="66">
        <v>39</v>
      </c>
      <c r="B33" s="67" t="s">
        <v>147</v>
      </c>
      <c r="C33" s="170">
        <v>1550000</v>
      </c>
      <c r="D33" s="170">
        <v>0</v>
      </c>
      <c r="E33" s="69">
        <f t="shared" si="7"/>
        <v>1550000</v>
      </c>
      <c r="F33" s="69">
        <v>6.32</v>
      </c>
      <c r="G33" s="56">
        <f t="shared" si="8"/>
        <v>97960</v>
      </c>
      <c r="H33" s="56">
        <f t="shared" si="9"/>
        <v>1452040</v>
      </c>
      <c r="I33" s="56">
        <f t="shared" si="10"/>
        <v>36301</v>
      </c>
      <c r="J33" s="56">
        <f t="shared" si="11"/>
        <v>29040.800000000003</v>
      </c>
      <c r="K33" s="56">
        <f t="shared" si="12"/>
        <v>7260.1999999999971</v>
      </c>
    </row>
    <row r="34" spans="1:11">
      <c r="A34" s="66">
        <v>40</v>
      </c>
      <c r="B34" s="64" t="s">
        <v>146</v>
      </c>
      <c r="C34" s="170">
        <v>3882600</v>
      </c>
      <c r="D34" s="170">
        <v>0</v>
      </c>
      <c r="E34" s="69">
        <f t="shared" si="7"/>
        <v>3882600</v>
      </c>
      <c r="F34" s="69">
        <v>3.1</v>
      </c>
      <c r="G34" s="56">
        <f t="shared" si="8"/>
        <v>120360.6</v>
      </c>
      <c r="H34" s="56">
        <f t="shared" si="9"/>
        <v>3762239.4</v>
      </c>
      <c r="I34" s="56">
        <f t="shared" si="10"/>
        <v>94055.985000000001</v>
      </c>
      <c r="J34" s="56">
        <f t="shared" si="11"/>
        <v>75244.788</v>
      </c>
      <c r="K34" s="56">
        <f t="shared" si="12"/>
        <v>18811.197</v>
      </c>
    </row>
    <row r="35" spans="1:11">
      <c r="A35" s="66">
        <v>41</v>
      </c>
      <c r="B35" s="64" t="s">
        <v>145</v>
      </c>
      <c r="C35" s="170">
        <v>285000</v>
      </c>
      <c r="D35" s="170">
        <v>0</v>
      </c>
      <c r="E35" s="69">
        <f t="shared" si="7"/>
        <v>285000</v>
      </c>
      <c r="F35" s="69">
        <v>17.010000000000002</v>
      </c>
      <c r="G35" s="56">
        <f t="shared" si="8"/>
        <v>48478.5</v>
      </c>
      <c r="H35" s="56">
        <f t="shared" si="9"/>
        <v>236521.5</v>
      </c>
      <c r="I35" s="56">
        <f t="shared" si="10"/>
        <v>5913.0375000000004</v>
      </c>
      <c r="J35" s="56">
        <f t="shared" si="11"/>
        <v>4730.43</v>
      </c>
      <c r="K35" s="56">
        <f t="shared" si="12"/>
        <v>1182.6075000000001</v>
      </c>
    </row>
    <row r="36" spans="1:11">
      <c r="A36" s="66">
        <v>45</v>
      </c>
      <c r="B36" s="64" t="s">
        <v>144</v>
      </c>
      <c r="C36" s="170">
        <v>728388</v>
      </c>
      <c r="D36" s="170">
        <v>723477</v>
      </c>
      <c r="E36" s="69">
        <f t="shared" si="7"/>
        <v>4911</v>
      </c>
      <c r="F36" s="69">
        <v>25</v>
      </c>
      <c r="G36" s="56">
        <f t="shared" si="8"/>
        <v>1227.75</v>
      </c>
      <c r="H36" s="56">
        <f>E36-G36</f>
        <v>3683.25</v>
      </c>
      <c r="I36" s="56">
        <f t="shared" si="10"/>
        <v>92.081250000000011</v>
      </c>
      <c r="J36" s="56">
        <f t="shared" si="11"/>
        <v>73.665000000000006</v>
      </c>
      <c r="K36" s="56">
        <f t="shared" si="12"/>
        <v>18.416250000000005</v>
      </c>
    </row>
    <row r="37" spans="1:11">
      <c r="A37" s="65"/>
      <c r="B37" s="64" t="s">
        <v>3</v>
      </c>
      <c r="C37" s="170">
        <f>SUM(C30:C36)</f>
        <v>6595130</v>
      </c>
      <c r="D37" s="170">
        <f>SUM(D30:D36)</f>
        <v>723477</v>
      </c>
      <c r="E37" s="69">
        <f>SUM(E30:E36)</f>
        <v>5871653</v>
      </c>
      <c r="F37" s="69"/>
      <c r="G37" s="56">
        <f>SUM(G30:G36)</f>
        <v>305312.34999999998</v>
      </c>
      <c r="H37" s="56">
        <f>SUM(H30:H36)</f>
        <v>5566340.6500000004</v>
      </c>
      <c r="I37" s="56">
        <f>SUM(I30:I36)</f>
        <v>139158.51624999999</v>
      </c>
      <c r="J37" s="56">
        <f>SUM(J30:J36)</f>
        <v>111326.81300000001</v>
      </c>
      <c r="K37" s="56">
        <f>SUM(K30:K36)</f>
        <v>27831.703249999995</v>
      </c>
    </row>
    <row r="38" spans="1:11">
      <c r="A38" s="375"/>
      <c r="B38" s="3"/>
      <c r="C38" s="380"/>
      <c r="D38" s="380"/>
      <c r="E38" s="68"/>
      <c r="F38" s="169"/>
      <c r="G38" s="63"/>
      <c r="H38" s="63"/>
      <c r="I38" s="63"/>
      <c r="J38" s="63"/>
      <c r="K38" s="63"/>
    </row>
    <row r="39" spans="1:11">
      <c r="A39" s="483" t="s">
        <v>154</v>
      </c>
      <c r="B39" s="483"/>
      <c r="C39" s="483"/>
      <c r="D39" s="483"/>
      <c r="E39" s="483"/>
      <c r="F39" s="483"/>
      <c r="G39" s="483"/>
      <c r="H39" s="483"/>
      <c r="I39" s="483"/>
      <c r="J39" s="483"/>
      <c r="K39" s="483"/>
    </row>
    <row r="40" spans="1:11">
      <c r="A40" s="486" t="s">
        <v>153</v>
      </c>
      <c r="B40" s="487" t="s">
        <v>152</v>
      </c>
      <c r="C40" s="488" t="s">
        <v>151</v>
      </c>
      <c r="D40" s="103" t="s">
        <v>150</v>
      </c>
      <c r="E40" s="106" t="s">
        <v>149</v>
      </c>
      <c r="F40" s="68"/>
      <c r="G40" s="104"/>
      <c r="H40" s="63"/>
      <c r="I40" s="63"/>
      <c r="J40" s="63"/>
      <c r="K40" s="63"/>
    </row>
    <row r="41" spans="1:11">
      <c r="A41" s="486"/>
      <c r="B41" s="487"/>
      <c r="C41" s="485"/>
      <c r="D41" s="489" t="s">
        <v>228</v>
      </c>
      <c r="E41" s="490"/>
      <c r="F41" s="491"/>
      <c r="G41" s="491"/>
      <c r="H41" s="63"/>
      <c r="I41" s="63"/>
      <c r="J41" s="63"/>
      <c r="K41" s="63"/>
    </row>
    <row r="42" spans="1:11">
      <c r="A42" s="371"/>
      <c r="B42" s="372"/>
      <c r="C42" s="374"/>
      <c r="D42" s="372"/>
      <c r="E42" s="372"/>
      <c r="F42" s="377"/>
      <c r="G42" s="377"/>
      <c r="H42" s="63"/>
      <c r="I42" s="63"/>
      <c r="J42" s="63"/>
      <c r="K42" s="63"/>
    </row>
    <row r="43" spans="1:11">
      <c r="A43" s="371">
        <v>1</v>
      </c>
      <c r="B43" s="372">
        <v>2</v>
      </c>
      <c r="C43" s="374">
        <v>3</v>
      </c>
      <c r="D43" s="374">
        <v>4</v>
      </c>
      <c r="E43" s="374">
        <v>5</v>
      </c>
      <c r="F43" s="375"/>
      <c r="G43" s="105"/>
      <c r="H43" s="63"/>
      <c r="I43" s="63"/>
      <c r="J43" s="63"/>
      <c r="K43" s="63"/>
    </row>
    <row r="44" spans="1:11">
      <c r="A44" s="381" t="s">
        <v>304</v>
      </c>
      <c r="B44" s="378" t="s">
        <v>313</v>
      </c>
      <c r="C44" s="108">
        <f>J30</f>
        <v>0</v>
      </c>
      <c r="D44" s="108">
        <f>C44*0.3</f>
        <v>0</v>
      </c>
      <c r="E44" s="108">
        <f>C44-D44</f>
        <v>0</v>
      </c>
      <c r="F44" s="375"/>
      <c r="G44" s="105"/>
      <c r="H44" s="63"/>
      <c r="I44" s="63"/>
      <c r="J44" s="63"/>
      <c r="K44" s="63"/>
    </row>
    <row r="45" spans="1:11">
      <c r="A45" s="66">
        <v>29</v>
      </c>
      <c r="B45" s="64" t="s">
        <v>59</v>
      </c>
      <c r="C45" s="56">
        <f t="shared" ref="C45:C50" si="13">J31</f>
        <v>1063.4400000000003</v>
      </c>
      <c r="D45" s="56">
        <f>C45*0.3</f>
        <v>319.0320000000001</v>
      </c>
      <c r="E45" s="56">
        <f>C45-D45</f>
        <v>744.40800000000013</v>
      </c>
      <c r="F45" s="63"/>
      <c r="G45" s="63"/>
      <c r="H45" s="63"/>
      <c r="I45" s="63"/>
      <c r="J45" s="63"/>
      <c r="K45" s="63"/>
    </row>
    <row r="46" spans="1:11">
      <c r="A46" s="66">
        <v>30</v>
      </c>
      <c r="B46" s="64" t="s">
        <v>148</v>
      </c>
      <c r="C46" s="56">
        <f t="shared" si="13"/>
        <v>1173.6900000000003</v>
      </c>
      <c r="D46" s="56">
        <f t="shared" ref="D46:D50" si="14">C46*0.3</f>
        <v>352.10700000000008</v>
      </c>
      <c r="E46" s="56">
        <f t="shared" ref="E46:E50" si="15">C46-D46</f>
        <v>821.5830000000002</v>
      </c>
      <c r="F46" s="63"/>
      <c r="G46" s="63"/>
      <c r="H46" s="63"/>
      <c r="I46" s="63"/>
      <c r="J46" s="63"/>
      <c r="K46" s="63"/>
    </row>
    <row r="47" spans="1:11">
      <c r="A47" s="66">
        <v>39</v>
      </c>
      <c r="B47" s="67" t="s">
        <v>147</v>
      </c>
      <c r="C47" s="56">
        <f t="shared" si="13"/>
        <v>29040.800000000003</v>
      </c>
      <c r="D47" s="56">
        <f t="shared" si="14"/>
        <v>8712.24</v>
      </c>
      <c r="E47" s="56">
        <f t="shared" si="15"/>
        <v>20328.560000000005</v>
      </c>
      <c r="F47" s="63"/>
      <c r="G47" s="63"/>
      <c r="H47" s="63"/>
      <c r="I47" s="63"/>
      <c r="J47" s="63"/>
      <c r="K47" s="63"/>
    </row>
    <row r="48" spans="1:11">
      <c r="A48" s="66">
        <v>40</v>
      </c>
      <c r="B48" s="64" t="s">
        <v>146</v>
      </c>
      <c r="C48" s="56">
        <f t="shared" si="13"/>
        <v>75244.788</v>
      </c>
      <c r="D48" s="56">
        <f t="shared" si="14"/>
        <v>22573.436399999999</v>
      </c>
      <c r="E48" s="56">
        <f t="shared" si="15"/>
        <v>52671.351600000002</v>
      </c>
      <c r="F48" s="63"/>
      <c r="G48" s="63"/>
      <c r="H48" s="63"/>
      <c r="I48" s="63"/>
      <c r="J48" s="63"/>
      <c r="K48" s="63"/>
    </row>
    <row r="49" spans="1:17">
      <c r="A49" s="66">
        <v>41</v>
      </c>
      <c r="B49" s="64" t="s">
        <v>145</v>
      </c>
      <c r="C49" s="56">
        <f t="shared" si="13"/>
        <v>4730.43</v>
      </c>
      <c r="D49" s="56">
        <f t="shared" si="14"/>
        <v>1419.1290000000001</v>
      </c>
      <c r="E49" s="56">
        <f t="shared" si="15"/>
        <v>3311.3010000000004</v>
      </c>
      <c r="F49" s="63"/>
      <c r="G49" s="63"/>
      <c r="H49" s="63"/>
      <c r="I49" s="63"/>
      <c r="J49" s="63"/>
      <c r="K49" s="63"/>
    </row>
    <row r="50" spans="1:17">
      <c r="A50" s="66">
        <v>45</v>
      </c>
      <c r="B50" s="64" t="s">
        <v>144</v>
      </c>
      <c r="C50" s="56">
        <f t="shared" si="13"/>
        <v>73.665000000000006</v>
      </c>
      <c r="D50" s="56">
        <f t="shared" si="14"/>
        <v>22.099500000000003</v>
      </c>
      <c r="E50" s="56">
        <f t="shared" si="15"/>
        <v>51.5655</v>
      </c>
      <c r="F50" s="63"/>
      <c r="G50" s="63"/>
      <c r="H50" s="63"/>
      <c r="I50" s="63"/>
      <c r="J50" s="63"/>
      <c r="K50" s="63"/>
    </row>
    <row r="51" spans="1:17">
      <c r="A51" s="65"/>
      <c r="B51" s="64" t="s">
        <v>3</v>
      </c>
      <c r="C51" s="56">
        <f>SUM(C44:C50)</f>
        <v>111326.81300000001</v>
      </c>
      <c r="D51" s="56">
        <f>SUM(D44:D50)</f>
        <v>33398.043899999997</v>
      </c>
      <c r="E51" s="56">
        <f>SUM(E44:E50)</f>
        <v>77928.769100000005</v>
      </c>
      <c r="F51" s="174"/>
      <c r="G51" s="174"/>
      <c r="H51" s="174"/>
      <c r="I51" s="63"/>
      <c r="J51" s="63"/>
      <c r="K51" s="63"/>
    </row>
    <row r="52" spans="1:17">
      <c r="D52" s="62"/>
      <c r="E52" s="62"/>
      <c r="J52" s="62"/>
      <c r="K52" s="62"/>
    </row>
    <row r="53" spans="1:17">
      <c r="A53" s="61"/>
      <c r="B53" s="1"/>
    </row>
    <row r="56" spans="1:17"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6.4">
      <c r="B57" s="97" t="s">
        <v>143</v>
      </c>
      <c r="C57" s="373" t="s">
        <v>186</v>
      </c>
      <c r="D57" s="113" t="s">
        <v>3</v>
      </c>
      <c r="E57" s="370"/>
      <c r="F57" s="370"/>
      <c r="G57" s="370"/>
      <c r="H57" s="370"/>
      <c r="I57" s="370"/>
      <c r="J57" s="483"/>
      <c r="K57" s="483"/>
      <c r="L57" s="483"/>
      <c r="M57" s="483"/>
      <c r="N57" s="483"/>
      <c r="O57" s="483"/>
      <c r="P57" s="484"/>
      <c r="Q57" s="484"/>
    </row>
    <row r="58" spans="1:17">
      <c r="B58" s="98"/>
      <c r="C58" s="376"/>
      <c r="D58" s="69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</row>
    <row r="59" spans="1:17">
      <c r="B59" s="59" t="s">
        <v>66</v>
      </c>
      <c r="C59" s="57">
        <f>D73</f>
        <v>65.061112591859271</v>
      </c>
      <c r="D59" s="56">
        <f>$K$37/100*C59</f>
        <v>18107.615787714651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67</v>
      </c>
      <c r="C60" s="57">
        <f t="shared" ref="C60:C65" si="16">D74</f>
        <v>4.4473213265811209</v>
      </c>
      <c r="D60" s="56">
        <f t="shared" ref="D60:D65" si="17">$K$37/100*C60</f>
        <v>1237.7652741880206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60" t="s">
        <v>68</v>
      </c>
      <c r="C61" s="57">
        <f t="shared" si="16"/>
        <v>8.795644061988348</v>
      </c>
      <c r="D61" s="56">
        <f t="shared" si="17"/>
        <v>2447.9775542588422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>
      <c r="B62" s="59" t="s">
        <v>69</v>
      </c>
      <c r="C62" s="57">
        <f t="shared" si="16"/>
        <v>8.928911396260899</v>
      </c>
      <c r="D62" s="56">
        <f t="shared" si="17"/>
        <v>2485.0681232627644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>
      <c r="B63" s="59" t="s">
        <v>70</v>
      </c>
      <c r="C63" s="57">
        <f t="shared" si="16"/>
        <v>6.1036439096828241</v>
      </c>
      <c r="D63" s="56">
        <f t="shared" si="17"/>
        <v>1698.7480603796212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9" t="s">
        <v>71</v>
      </c>
      <c r="C64" s="57">
        <f t="shared" si="16"/>
        <v>3.2897993374709675</v>
      </c>
      <c r="D64" s="56">
        <f t="shared" si="17"/>
        <v>915.6071891253855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7">
      <c r="B65" s="59" t="s">
        <v>72</v>
      </c>
      <c r="C65" s="57">
        <f t="shared" si="16"/>
        <v>3.3735673761565699</v>
      </c>
      <c r="D65" s="56">
        <f t="shared" si="17"/>
        <v>938.92126107070749</v>
      </c>
      <c r="E65" s="63"/>
      <c r="F65" s="63"/>
      <c r="G65" s="63"/>
      <c r="H65" s="63"/>
      <c r="I65" s="174"/>
      <c r="J65" s="174"/>
      <c r="K65" s="63"/>
      <c r="L65" s="63"/>
      <c r="M65" s="63"/>
      <c r="N65" s="63"/>
      <c r="O65" s="63"/>
      <c r="P65" s="63"/>
      <c r="Q65" s="63"/>
    </row>
    <row r="66" spans="2:17">
      <c r="B66" s="58" t="s">
        <v>64</v>
      </c>
      <c r="C66" s="57">
        <v>100</v>
      </c>
      <c r="D66" s="56">
        <f>SUM(D59:D65)</f>
        <v>27831.703249999991</v>
      </c>
      <c r="E66" s="63"/>
      <c r="F66" s="63"/>
      <c r="G66" s="63"/>
      <c r="H66" s="63"/>
      <c r="I66" s="174"/>
      <c r="J66" s="174"/>
      <c r="K66" s="63"/>
      <c r="L66" s="63"/>
      <c r="M66" s="63"/>
      <c r="N66" s="63"/>
      <c r="O66" s="63"/>
      <c r="P66" s="63"/>
      <c r="Q66" s="63"/>
    </row>
    <row r="67" spans="2:17">
      <c r="B67" s="55" t="s">
        <v>187</v>
      </c>
      <c r="I67" s="173"/>
      <c r="J67" s="174"/>
    </row>
    <row r="68" spans="2:17">
      <c r="I68" s="173"/>
      <c r="J68" s="174"/>
    </row>
    <row r="69" spans="2:17">
      <c r="I69" s="173"/>
      <c r="J69" s="174"/>
    </row>
    <row r="70" spans="2:17">
      <c r="B70" s="376" t="s">
        <v>188</v>
      </c>
      <c r="C70" s="69"/>
      <c r="D70" s="69"/>
      <c r="E70" s="107"/>
      <c r="F70" s="107"/>
      <c r="G70" s="107"/>
      <c r="I70" s="173"/>
      <c r="J70" s="174"/>
    </row>
    <row r="71" spans="2:17">
      <c r="B71" s="376" t="s">
        <v>143</v>
      </c>
      <c r="C71" s="69" t="s">
        <v>199</v>
      </c>
      <c r="D71" s="69"/>
      <c r="E71" s="68"/>
      <c r="F71" s="68"/>
      <c r="G71" s="68"/>
    </row>
    <row r="72" spans="2:17">
      <c r="B72" s="59"/>
      <c r="C72" s="57" t="s">
        <v>142</v>
      </c>
      <c r="D72" s="108" t="s">
        <v>191</v>
      </c>
      <c r="E72" s="68"/>
      <c r="F72" s="68"/>
      <c r="G72" s="68"/>
    </row>
    <row r="73" spans="2:17">
      <c r="B73" s="59" t="s">
        <v>66</v>
      </c>
      <c r="C73" s="57">
        <f>C89</f>
        <v>16516.799367008713</v>
      </c>
      <c r="D73" s="57">
        <f>C73/$C$80*100</f>
        <v>65.061112591859271</v>
      </c>
      <c r="E73" s="68" t="s">
        <v>227</v>
      </c>
      <c r="F73" s="68"/>
      <c r="G73" s="68"/>
    </row>
    <row r="74" spans="2:17">
      <c r="B74" s="60" t="s">
        <v>67</v>
      </c>
      <c r="C74" s="57">
        <f t="shared" ref="C74:C79" si="18">C90</f>
        <v>1129.0233312264397</v>
      </c>
      <c r="D74" s="57">
        <f t="shared" ref="D74:D79" si="19">C74/$C$80*100</f>
        <v>4.4473213265811209</v>
      </c>
      <c r="E74" s="68"/>
      <c r="F74" s="68"/>
      <c r="G74" s="68"/>
    </row>
    <row r="75" spans="2:17">
      <c r="B75" s="59" t="s">
        <v>68</v>
      </c>
      <c r="C75" s="57">
        <f t="shared" si="18"/>
        <v>2232.9142937783181</v>
      </c>
      <c r="D75" s="57">
        <f t="shared" si="19"/>
        <v>8.795644061988348</v>
      </c>
      <c r="E75" s="68"/>
      <c r="F75" s="68"/>
      <c r="G75" s="68"/>
    </row>
    <row r="76" spans="2:17">
      <c r="B76" s="59" t="s">
        <v>69</v>
      </c>
      <c r="C76" s="57">
        <f t="shared" si="18"/>
        <v>2266.7463285325352</v>
      </c>
      <c r="D76" s="57">
        <f t="shared" si="19"/>
        <v>8.928911396260899</v>
      </c>
      <c r="E76" s="68"/>
      <c r="F76" s="68"/>
      <c r="G76" s="68"/>
    </row>
    <row r="77" spans="2:17">
      <c r="B77" s="59" t="s">
        <v>70</v>
      </c>
      <c r="C77" s="57">
        <f t="shared" si="18"/>
        <v>1549.5071917431362</v>
      </c>
      <c r="D77" s="57">
        <f t="shared" si="19"/>
        <v>6.1036439096828241</v>
      </c>
      <c r="E77" s="68"/>
      <c r="F77" s="68"/>
      <c r="G77" s="68"/>
    </row>
    <row r="78" spans="2:17">
      <c r="B78" s="59" t="s">
        <v>71</v>
      </c>
      <c r="C78" s="57">
        <f t="shared" si="18"/>
        <v>835.16794364695568</v>
      </c>
      <c r="D78" s="57">
        <f t="shared" si="19"/>
        <v>3.2897993374709675</v>
      </c>
      <c r="E78" s="68"/>
      <c r="F78" s="68"/>
      <c r="G78" s="68"/>
    </row>
    <row r="79" spans="2:17">
      <c r="B79" s="58" t="s">
        <v>72</v>
      </c>
      <c r="C79" s="57">
        <f t="shared" si="18"/>
        <v>856.43379406389181</v>
      </c>
      <c r="D79" s="57">
        <f t="shared" si="19"/>
        <v>3.3735673761565699</v>
      </c>
      <c r="E79" s="68"/>
      <c r="F79" s="68"/>
      <c r="G79" s="68"/>
    </row>
    <row r="80" spans="2:17">
      <c r="B80" s="69" t="s">
        <v>64</v>
      </c>
      <c r="C80" s="57">
        <f>SUM(C73:C79)</f>
        <v>25386.592249999991</v>
      </c>
      <c r="D80" s="57">
        <f>SUM(D73:D79)</f>
        <v>100</v>
      </c>
      <c r="E80" s="68"/>
      <c r="F80" s="68"/>
      <c r="G80" s="68"/>
    </row>
    <row r="81" spans="2:6">
      <c r="B81" s="55" t="s">
        <v>192</v>
      </c>
      <c r="D81" s="55" t="s">
        <v>193</v>
      </c>
    </row>
    <row r="83" spans="2:6">
      <c r="B83" s="55" t="s">
        <v>165</v>
      </c>
    </row>
    <row r="85" spans="2:6">
      <c r="B85" s="55" t="s">
        <v>302</v>
      </c>
      <c r="C85" s="55">
        <v>66300</v>
      </c>
    </row>
    <row r="86" spans="2:6">
      <c r="B86" s="55" t="s">
        <v>220</v>
      </c>
      <c r="C86" s="55">
        <v>19600</v>
      </c>
      <c r="E86" s="485" t="s">
        <v>201</v>
      </c>
      <c r="F86" s="485"/>
    </row>
    <row r="87" spans="2:6" ht="26.4">
      <c r="B87" s="376" t="s">
        <v>143</v>
      </c>
      <c r="C87" s="69" t="s">
        <v>199</v>
      </c>
      <c r="D87" s="69"/>
      <c r="E87" s="69" t="s">
        <v>219</v>
      </c>
      <c r="F87" s="172" t="s">
        <v>221</v>
      </c>
    </row>
    <row r="88" spans="2:6">
      <c r="B88" s="59"/>
      <c r="C88" s="57" t="s">
        <v>142</v>
      </c>
      <c r="D88" s="108" t="s">
        <v>191</v>
      </c>
      <c r="E88" s="69"/>
      <c r="F88" s="69"/>
    </row>
    <row r="89" spans="2:6">
      <c r="B89" s="122" t="s">
        <v>66</v>
      </c>
      <c r="C89" s="171">
        <v>16516.799367008713</v>
      </c>
      <c r="D89" s="57">
        <f>C89/$C$80*100</f>
        <v>65.061112591859271</v>
      </c>
      <c r="E89" s="57">
        <f>D89/$D$96*$C$85</f>
        <v>43135.517648402696</v>
      </c>
      <c r="F89" s="56">
        <f>$C$86*D89*0.01</f>
        <v>12751.978068004419</v>
      </c>
    </row>
    <row r="90" spans="2:6">
      <c r="B90" s="124" t="s">
        <v>67</v>
      </c>
      <c r="C90" s="171">
        <v>1129.0233312264397</v>
      </c>
      <c r="D90" s="57">
        <f t="shared" ref="D90:D95" si="20">C90/$C$80*100</f>
        <v>4.4473213265811209</v>
      </c>
      <c r="E90" s="57">
        <f t="shared" ref="E90:E95" si="21">D90/$D$96*$C$85</f>
        <v>2948.5740395232833</v>
      </c>
      <c r="F90" s="56">
        <f t="shared" ref="F90:F95" si="22">$C$86*D90*0.01</f>
        <v>871.67498000989974</v>
      </c>
    </row>
    <row r="91" spans="2:6">
      <c r="B91" s="122" t="s">
        <v>68</v>
      </c>
      <c r="C91" s="171">
        <v>2232.9142937783181</v>
      </c>
      <c r="D91" s="57">
        <f t="shared" si="20"/>
        <v>8.795644061988348</v>
      </c>
      <c r="E91" s="57">
        <f t="shared" si="21"/>
        <v>5831.5120130982741</v>
      </c>
      <c r="F91" s="56">
        <f t="shared" si="22"/>
        <v>1723.9462361497162</v>
      </c>
    </row>
    <row r="92" spans="2:6">
      <c r="B92" s="122" t="s">
        <v>69</v>
      </c>
      <c r="C92" s="171">
        <v>2266.7463285325352</v>
      </c>
      <c r="D92" s="57">
        <f t="shared" si="20"/>
        <v>8.928911396260899</v>
      </c>
      <c r="E92" s="57">
        <f t="shared" si="21"/>
        <v>5919.8682557209768</v>
      </c>
      <c r="F92" s="56">
        <f t="shared" si="22"/>
        <v>1750.0666336671363</v>
      </c>
    </row>
    <row r="93" spans="2:6">
      <c r="B93" s="122" t="s">
        <v>70</v>
      </c>
      <c r="C93" s="171">
        <v>1549.5071917431362</v>
      </c>
      <c r="D93" s="57">
        <f t="shared" si="20"/>
        <v>6.1036439096828241</v>
      </c>
      <c r="E93" s="57">
        <f t="shared" si="21"/>
        <v>4046.7159121197124</v>
      </c>
      <c r="F93" s="56">
        <f t="shared" si="22"/>
        <v>1196.3142062978336</v>
      </c>
    </row>
    <row r="94" spans="2:6">
      <c r="B94" s="122" t="s">
        <v>71</v>
      </c>
      <c r="C94" s="171">
        <v>835.16794364695568</v>
      </c>
      <c r="D94" s="57">
        <f t="shared" si="20"/>
        <v>3.2897993374709675</v>
      </c>
      <c r="E94" s="57">
        <f t="shared" si="21"/>
        <v>2181.1369607432512</v>
      </c>
      <c r="F94" s="56">
        <f t="shared" si="22"/>
        <v>644.80067014430961</v>
      </c>
    </row>
    <row r="95" spans="2:6">
      <c r="B95" s="123" t="s">
        <v>72</v>
      </c>
      <c r="C95" s="171">
        <v>856.43379406389181</v>
      </c>
      <c r="D95" s="57">
        <f t="shared" si="20"/>
        <v>3.3735673761565699</v>
      </c>
      <c r="E95" s="57">
        <f t="shared" si="21"/>
        <v>2236.6751703918058</v>
      </c>
      <c r="F95" s="56">
        <f t="shared" si="22"/>
        <v>661.21920572668762</v>
      </c>
    </row>
    <row r="96" spans="2:6">
      <c r="B96" s="69" t="s">
        <v>64</v>
      </c>
      <c r="C96" s="57">
        <f>SUM(C89:C95)</f>
        <v>25386.592249999991</v>
      </c>
      <c r="D96" s="57">
        <f>SUM(D89:D95)</f>
        <v>100</v>
      </c>
      <c r="E96" s="56">
        <f>SUM(E89:E95)</f>
        <v>66300</v>
      </c>
      <c r="F96" s="56">
        <f>SUM(F89:F95)</f>
        <v>19600</v>
      </c>
    </row>
  </sheetData>
  <mergeCells count="26">
    <mergeCell ref="L57:M57"/>
    <mergeCell ref="N57:O57"/>
    <mergeCell ref="P57:Q57"/>
    <mergeCell ref="E86:F86"/>
    <mergeCell ref="A40:A41"/>
    <mergeCell ref="B40:B41"/>
    <mergeCell ref="C40:C41"/>
    <mergeCell ref="D41:E41"/>
    <mergeCell ref="F41:G41"/>
    <mergeCell ref="J57:K57"/>
    <mergeCell ref="A39:K39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K27:K28"/>
  </mergeCells>
  <pageMargins left="0.75" right="0.75" top="1" bottom="1" header="0.5" footer="0.5"/>
  <pageSetup scale="86" orientation="landscape" r:id="rId1"/>
  <headerFooter alignWithMargins="0"/>
  <rowBreaks count="1" manualBreakCount="1">
    <brk id="38" max="10" man="1"/>
  </rowBreaks>
  <colBreaks count="1" manualBreakCount="1">
    <brk id="13" max="4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Q96"/>
  <sheetViews>
    <sheetView topLeftCell="A33" zoomScale="124" zoomScaleNormal="124" zoomScaleSheetLayoutView="85" zoomScalePageLayoutView="154" workbookViewId="0">
      <selection activeCell="D59" sqref="D59:D65"/>
    </sheetView>
  </sheetViews>
  <sheetFormatPr defaultColWidth="9.33203125" defaultRowHeight="13.2"/>
  <cols>
    <col min="1" max="1" width="9.44140625" style="55" bestFit="1" customWidth="1"/>
    <col min="2" max="2" width="30.88671875" style="55" customWidth="1"/>
    <col min="3" max="3" width="11.4414062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.33203125" style="55" bestFit="1" customWidth="1"/>
    <col min="9" max="9" width="10.44140625" style="55" customWidth="1"/>
    <col min="10" max="11" width="10.554687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D73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D74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/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314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371" t="s">
        <v>156</v>
      </c>
      <c r="G28" s="372" t="s">
        <v>155</v>
      </c>
      <c r="H28" s="485"/>
      <c r="I28" s="508"/>
      <c r="J28" s="493"/>
      <c r="K28" s="493"/>
      <c r="M28" s="70"/>
    </row>
    <row r="29" spans="1:13" ht="22.5" customHeight="1">
      <c r="A29" s="371">
        <v>1</v>
      </c>
      <c r="B29" s="372">
        <v>2</v>
      </c>
      <c r="C29" s="371">
        <v>3</v>
      </c>
      <c r="D29" s="373">
        <v>4</v>
      </c>
      <c r="E29" s="373">
        <v>5</v>
      </c>
      <c r="F29" s="371">
        <v>6</v>
      </c>
      <c r="G29" s="372">
        <v>7</v>
      </c>
      <c r="H29" s="374">
        <v>8</v>
      </c>
      <c r="I29" s="374">
        <v>9</v>
      </c>
      <c r="J29" s="369">
        <v>10</v>
      </c>
      <c r="K29" s="369">
        <v>11</v>
      </c>
      <c r="M29" s="70"/>
    </row>
    <row r="30" spans="1:13">
      <c r="A30" s="381" t="s">
        <v>304</v>
      </c>
      <c r="B30" s="399" t="s">
        <v>313</v>
      </c>
      <c r="C30" s="400">
        <v>1713914</v>
      </c>
      <c r="D30" s="226">
        <v>0</v>
      </c>
      <c r="E30" s="226">
        <f t="shared" ref="E30" si="1">C30-D30</f>
        <v>1713914</v>
      </c>
      <c r="F30" s="57">
        <v>25</v>
      </c>
      <c r="G30" s="57">
        <f t="shared" ref="G30" si="2">E30*F30/100</f>
        <v>428478.5</v>
      </c>
      <c r="H30" s="57">
        <f t="shared" ref="H30" si="3">E30-G30</f>
        <v>1285435.5</v>
      </c>
      <c r="I30" s="57">
        <f t="shared" ref="I30" si="4">H30*0.025</f>
        <v>32135.887500000001</v>
      </c>
      <c r="J30" s="57">
        <f t="shared" ref="J30" si="5">I30*0.8</f>
        <v>25708.710000000003</v>
      </c>
      <c r="K30" s="57">
        <f t="shared" ref="K30" si="6">I30-J30</f>
        <v>6427.177499999998</v>
      </c>
      <c r="M30" s="70"/>
    </row>
    <row r="31" spans="1:13">
      <c r="A31" s="66">
        <v>29</v>
      </c>
      <c r="B31" s="64" t="s">
        <v>59</v>
      </c>
      <c r="C31" s="398">
        <v>74435</v>
      </c>
      <c r="D31" s="226">
        <v>0</v>
      </c>
      <c r="E31" s="226">
        <f t="shared" ref="E31:E36" si="7">C31-D31</f>
        <v>74435</v>
      </c>
      <c r="F31" s="57">
        <v>25</v>
      </c>
      <c r="G31" s="57">
        <f t="shared" ref="G31:G36" si="8">E31*F31/100</f>
        <v>18608.75</v>
      </c>
      <c r="H31" s="57">
        <f t="shared" ref="H31:H36" si="9">E31-G31</f>
        <v>55826.25</v>
      </c>
      <c r="I31" s="57">
        <f t="shared" ref="I31:I36" si="10">H31*0.025</f>
        <v>1395.65625</v>
      </c>
      <c r="J31" s="57">
        <f t="shared" ref="J31:J36" si="11">I31*0.8</f>
        <v>1116.5250000000001</v>
      </c>
      <c r="K31" s="57">
        <f t="shared" ref="K31:K36" si="12">I31-J31</f>
        <v>279.13124999999991</v>
      </c>
    </row>
    <row r="32" spans="1:13">
      <c r="A32" s="66">
        <v>30</v>
      </c>
      <c r="B32" s="64" t="s">
        <v>148</v>
      </c>
      <c r="C32" s="398">
        <v>135737</v>
      </c>
      <c r="D32" s="226">
        <v>0</v>
      </c>
      <c r="E32" s="226">
        <f t="shared" si="7"/>
        <v>135737</v>
      </c>
      <c r="F32" s="57">
        <v>25</v>
      </c>
      <c r="G32" s="57">
        <f t="shared" si="8"/>
        <v>33934.25</v>
      </c>
      <c r="H32" s="57">
        <f t="shared" si="9"/>
        <v>101802.75</v>
      </c>
      <c r="I32" s="57">
        <f t="shared" si="10"/>
        <v>2545.0687500000004</v>
      </c>
      <c r="J32" s="57">
        <f t="shared" si="11"/>
        <v>2036.0550000000003</v>
      </c>
      <c r="K32" s="57">
        <f t="shared" si="12"/>
        <v>509.01375000000007</v>
      </c>
    </row>
    <row r="33" spans="1:11">
      <c r="A33" s="66">
        <v>39</v>
      </c>
      <c r="B33" s="67" t="s">
        <v>147</v>
      </c>
      <c r="C33" s="398">
        <v>1504747</v>
      </c>
      <c r="D33" s="226">
        <v>0</v>
      </c>
      <c r="E33" s="226">
        <f t="shared" si="7"/>
        <v>1504747</v>
      </c>
      <c r="F33" s="57">
        <v>6.32</v>
      </c>
      <c r="G33" s="57">
        <f t="shared" si="8"/>
        <v>95100.010400000014</v>
      </c>
      <c r="H33" s="57">
        <f t="shared" si="9"/>
        <v>1409646.9896</v>
      </c>
      <c r="I33" s="57">
        <f t="shared" si="10"/>
        <v>35241.174740000002</v>
      </c>
      <c r="J33" s="57">
        <f t="shared" si="11"/>
        <v>28192.939792000005</v>
      </c>
      <c r="K33" s="57">
        <f t="shared" si="12"/>
        <v>7048.2349479999975</v>
      </c>
    </row>
    <row r="34" spans="1:11">
      <c r="A34" s="66">
        <v>40</v>
      </c>
      <c r="B34" s="64" t="s">
        <v>146</v>
      </c>
      <c r="C34" s="398">
        <v>2496566</v>
      </c>
      <c r="D34" s="226">
        <v>0</v>
      </c>
      <c r="E34" s="226">
        <f t="shared" si="7"/>
        <v>2496566</v>
      </c>
      <c r="F34" s="57">
        <v>3.1</v>
      </c>
      <c r="G34" s="57">
        <f t="shared" si="8"/>
        <v>77393.546000000002</v>
      </c>
      <c r="H34" s="57">
        <f t="shared" si="9"/>
        <v>2419172.4539999999</v>
      </c>
      <c r="I34" s="57">
        <f t="shared" si="10"/>
        <v>60479.311350000004</v>
      </c>
      <c r="J34" s="57">
        <f t="shared" si="11"/>
        <v>48383.449080000006</v>
      </c>
      <c r="K34" s="57">
        <f t="shared" si="12"/>
        <v>12095.862269999998</v>
      </c>
    </row>
    <row r="35" spans="1:11">
      <c r="A35" s="66">
        <v>41</v>
      </c>
      <c r="B35" s="64" t="s">
        <v>145</v>
      </c>
      <c r="C35" s="398">
        <v>293664</v>
      </c>
      <c r="D35" s="226">
        <v>0</v>
      </c>
      <c r="E35" s="226">
        <f t="shared" si="7"/>
        <v>293664</v>
      </c>
      <c r="F35" s="57">
        <v>17.010000000000002</v>
      </c>
      <c r="G35" s="57">
        <f t="shared" si="8"/>
        <v>49952.246400000004</v>
      </c>
      <c r="H35" s="57">
        <f t="shared" si="9"/>
        <v>243711.7536</v>
      </c>
      <c r="I35" s="57">
        <f t="shared" si="10"/>
        <v>6092.7938400000003</v>
      </c>
      <c r="J35" s="57">
        <f t="shared" si="11"/>
        <v>4874.2350720000004</v>
      </c>
      <c r="K35" s="57">
        <f t="shared" si="12"/>
        <v>1218.5587679999999</v>
      </c>
    </row>
    <row r="36" spans="1:11">
      <c r="A36" s="66">
        <v>45</v>
      </c>
      <c r="B36" s="64" t="s">
        <v>144</v>
      </c>
      <c r="C36" s="398">
        <v>798269</v>
      </c>
      <c r="D36" s="398">
        <v>781546</v>
      </c>
      <c r="E36" s="226">
        <f t="shared" si="7"/>
        <v>16723</v>
      </c>
      <c r="F36" s="57">
        <v>25</v>
      </c>
      <c r="G36" s="57">
        <f t="shared" si="8"/>
        <v>4180.75</v>
      </c>
      <c r="H36" s="57">
        <f t="shared" si="9"/>
        <v>12542.25</v>
      </c>
      <c r="I36" s="57">
        <f t="shared" si="10"/>
        <v>313.55625000000003</v>
      </c>
      <c r="J36" s="57">
        <f t="shared" si="11"/>
        <v>250.84500000000003</v>
      </c>
      <c r="K36" s="57">
        <f t="shared" si="12"/>
        <v>62.711250000000007</v>
      </c>
    </row>
    <row r="37" spans="1:11">
      <c r="A37" s="65"/>
      <c r="B37" s="64" t="s">
        <v>3</v>
      </c>
      <c r="C37" s="286">
        <f>SUM(C31:C36)</f>
        <v>5303418</v>
      </c>
      <c r="D37" s="286">
        <f>SUM(D31:D36)</f>
        <v>781546</v>
      </c>
      <c r="E37" s="57">
        <f>SUM(E31:E36)</f>
        <v>4521872</v>
      </c>
      <c r="F37" s="57"/>
      <c r="G37" s="57">
        <f>SUM(G31:G36)</f>
        <v>279169.55280000006</v>
      </c>
      <c r="H37" s="57">
        <f>SUM(H31:H36)</f>
        <v>4242702.4472000003</v>
      </c>
      <c r="I37" s="57">
        <f>SUM(I31:I36)</f>
        <v>106067.56117999999</v>
      </c>
      <c r="J37" s="57">
        <f>SUM(J31:J36)</f>
        <v>84854.048944000009</v>
      </c>
      <c r="K37" s="57">
        <f>SUM(K31:K36)</f>
        <v>21213.512235999995</v>
      </c>
    </row>
    <row r="38" spans="1:11">
      <c r="A38" s="375"/>
      <c r="B38" s="3"/>
      <c r="C38" s="68"/>
      <c r="D38" s="68"/>
      <c r="E38" s="68"/>
      <c r="F38" s="169"/>
      <c r="G38" s="63"/>
      <c r="H38" s="63"/>
      <c r="I38" s="63"/>
      <c r="J38" s="63"/>
      <c r="K38" s="63"/>
    </row>
    <row r="39" spans="1:11">
      <c r="A39" s="483" t="s">
        <v>154</v>
      </c>
      <c r="B39" s="483"/>
      <c r="C39" s="483"/>
      <c r="D39" s="483"/>
      <c r="E39" s="483"/>
      <c r="F39" s="483"/>
      <c r="G39" s="483"/>
      <c r="H39" s="483"/>
      <c r="I39" s="483"/>
      <c r="J39" s="483"/>
      <c r="K39" s="483"/>
    </row>
    <row r="40" spans="1:11">
      <c r="A40" s="486" t="s">
        <v>153</v>
      </c>
      <c r="B40" s="487" t="s">
        <v>152</v>
      </c>
      <c r="C40" s="488" t="s">
        <v>151</v>
      </c>
      <c r="D40" s="103" t="s">
        <v>150</v>
      </c>
      <c r="E40" s="106" t="s">
        <v>149</v>
      </c>
      <c r="F40" s="68"/>
      <c r="G40" s="104"/>
      <c r="H40" s="63"/>
      <c r="I40" s="63"/>
      <c r="J40" s="63"/>
      <c r="K40" s="63"/>
    </row>
    <row r="41" spans="1:11">
      <c r="A41" s="486"/>
      <c r="B41" s="487"/>
      <c r="C41" s="485"/>
      <c r="D41" s="489" t="s">
        <v>228</v>
      </c>
      <c r="E41" s="490"/>
      <c r="F41" s="491"/>
      <c r="G41" s="491"/>
      <c r="H41" s="63"/>
      <c r="I41" s="63"/>
      <c r="J41" s="63"/>
      <c r="K41" s="63"/>
    </row>
    <row r="42" spans="1:11">
      <c r="A42" s="371"/>
      <c r="B42" s="372"/>
      <c r="C42" s="374"/>
      <c r="D42" s="372"/>
      <c r="E42" s="372"/>
      <c r="F42" s="377"/>
      <c r="G42" s="377"/>
      <c r="H42" s="63"/>
      <c r="I42" s="63"/>
      <c r="J42" s="63"/>
      <c r="K42" s="63"/>
    </row>
    <row r="43" spans="1:11">
      <c r="A43" s="371">
        <v>1</v>
      </c>
      <c r="B43" s="372">
        <v>2</v>
      </c>
      <c r="C43" s="374">
        <v>3</v>
      </c>
      <c r="D43" s="374">
        <v>4</v>
      </c>
      <c r="E43" s="374">
        <v>5</v>
      </c>
      <c r="F43" s="375"/>
      <c r="G43" s="105"/>
      <c r="H43" s="63"/>
      <c r="I43" s="63"/>
      <c r="J43" s="63"/>
      <c r="K43" s="63"/>
    </row>
    <row r="44" spans="1:11">
      <c r="A44" s="381" t="s">
        <v>304</v>
      </c>
      <c r="B44" s="399" t="s">
        <v>313</v>
      </c>
      <c r="C44" s="57">
        <f t="shared" ref="C44:C50" si="13">J30</f>
        <v>25708.710000000003</v>
      </c>
      <c r="D44" s="57">
        <f t="shared" ref="D44" si="14">C44*0.3</f>
        <v>7712.6130000000003</v>
      </c>
      <c r="E44" s="57">
        <f t="shared" ref="E44" si="15">C44-D44</f>
        <v>17996.097000000002</v>
      </c>
      <c r="F44" s="397"/>
      <c r="G44" s="105"/>
      <c r="H44" s="63"/>
      <c r="I44" s="63"/>
      <c r="J44" s="63"/>
      <c r="K44" s="63"/>
    </row>
    <row r="45" spans="1:11">
      <c r="A45" s="66">
        <v>29</v>
      </c>
      <c r="B45" s="64" t="s">
        <v>59</v>
      </c>
      <c r="C45" s="57">
        <f t="shared" si="13"/>
        <v>1116.5250000000001</v>
      </c>
      <c r="D45" s="57">
        <f t="shared" ref="D45:D50" si="16">C45*0.3</f>
        <v>334.95750000000004</v>
      </c>
      <c r="E45" s="57">
        <f t="shared" ref="E45:E50" si="17">C45-D45</f>
        <v>781.56750000000011</v>
      </c>
      <c r="F45" s="63"/>
      <c r="G45" s="63"/>
      <c r="H45" s="63"/>
      <c r="I45" s="63"/>
      <c r="J45" s="63"/>
      <c r="K45" s="63"/>
    </row>
    <row r="46" spans="1:11">
      <c r="A46" s="66">
        <v>30</v>
      </c>
      <c r="B46" s="64" t="s">
        <v>148</v>
      </c>
      <c r="C46" s="57">
        <f t="shared" si="13"/>
        <v>2036.0550000000003</v>
      </c>
      <c r="D46" s="57">
        <f t="shared" si="16"/>
        <v>610.81650000000002</v>
      </c>
      <c r="E46" s="57">
        <f t="shared" si="17"/>
        <v>1425.2385000000004</v>
      </c>
      <c r="F46" s="63"/>
      <c r="G46" s="63"/>
      <c r="H46" s="63"/>
      <c r="I46" s="63"/>
      <c r="J46" s="63"/>
      <c r="K46" s="63"/>
    </row>
    <row r="47" spans="1:11">
      <c r="A47" s="66">
        <v>39</v>
      </c>
      <c r="B47" s="67" t="s">
        <v>147</v>
      </c>
      <c r="C47" s="57">
        <f t="shared" si="13"/>
        <v>28192.939792000005</v>
      </c>
      <c r="D47" s="57">
        <f t="shared" si="16"/>
        <v>8457.881937600001</v>
      </c>
      <c r="E47" s="57">
        <f t="shared" si="17"/>
        <v>19735.057854400002</v>
      </c>
      <c r="F47" s="63"/>
      <c r="G47" s="63"/>
      <c r="H47" s="63"/>
      <c r="I47" s="63"/>
      <c r="J47" s="63"/>
      <c r="K47" s="63"/>
    </row>
    <row r="48" spans="1:11">
      <c r="A48" s="66">
        <v>40</v>
      </c>
      <c r="B48" s="64" t="s">
        <v>146</v>
      </c>
      <c r="C48" s="57">
        <f t="shared" si="13"/>
        <v>48383.449080000006</v>
      </c>
      <c r="D48" s="57">
        <f t="shared" si="16"/>
        <v>14515.034724000001</v>
      </c>
      <c r="E48" s="57">
        <f t="shared" si="17"/>
        <v>33868.414356000008</v>
      </c>
      <c r="F48" s="63"/>
      <c r="G48" s="63"/>
      <c r="H48" s="63"/>
      <c r="I48" s="63"/>
      <c r="J48" s="63"/>
      <c r="K48" s="63"/>
    </row>
    <row r="49" spans="1:17">
      <c r="A49" s="66">
        <v>41</v>
      </c>
      <c r="B49" s="64" t="s">
        <v>145</v>
      </c>
      <c r="C49" s="57">
        <f t="shared" si="13"/>
        <v>4874.2350720000004</v>
      </c>
      <c r="D49" s="57">
        <f t="shared" si="16"/>
        <v>1462.2705216000002</v>
      </c>
      <c r="E49" s="57">
        <f t="shared" si="17"/>
        <v>3411.9645504</v>
      </c>
      <c r="F49" s="63"/>
      <c r="G49" s="63"/>
      <c r="H49" s="63"/>
      <c r="I49" s="63"/>
      <c r="J49" s="63"/>
      <c r="K49" s="63"/>
    </row>
    <row r="50" spans="1:17">
      <c r="A50" s="66">
        <v>45</v>
      </c>
      <c r="B50" s="64" t="s">
        <v>144</v>
      </c>
      <c r="C50" s="57">
        <f t="shared" si="13"/>
        <v>250.84500000000003</v>
      </c>
      <c r="D50" s="57">
        <f t="shared" si="16"/>
        <v>75.253500000000003</v>
      </c>
      <c r="E50" s="57">
        <f t="shared" si="17"/>
        <v>175.59150000000002</v>
      </c>
      <c r="F50" s="63"/>
      <c r="G50" s="63"/>
      <c r="H50" s="63"/>
      <c r="I50" s="63"/>
      <c r="J50" s="63"/>
      <c r="K50" s="63"/>
    </row>
    <row r="51" spans="1:17">
      <c r="A51" s="65"/>
      <c r="B51" s="64" t="s">
        <v>3</v>
      </c>
      <c r="C51" s="57">
        <f>SUM(C45:C50)</f>
        <v>84854.048944000009</v>
      </c>
      <c r="D51" s="57">
        <f>SUM(D45:D50)</f>
        <v>25456.2146832</v>
      </c>
      <c r="E51" s="57">
        <f>SUM(E45:E50)</f>
        <v>59397.834260800009</v>
      </c>
      <c r="F51" s="174"/>
      <c r="G51" s="174"/>
      <c r="H51" s="174"/>
      <c r="I51" s="63"/>
      <c r="J51" s="63"/>
      <c r="K51" s="63"/>
    </row>
    <row r="52" spans="1:17">
      <c r="D52" s="62"/>
      <c r="E52" s="62"/>
      <c r="J52" s="62"/>
      <c r="K52" s="62"/>
    </row>
    <row r="53" spans="1:17">
      <c r="A53" s="61"/>
      <c r="B53" s="1"/>
    </row>
    <row r="56" spans="1:17"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6.4">
      <c r="B57" s="97" t="s">
        <v>143</v>
      </c>
      <c r="C57" s="373" t="s">
        <v>186</v>
      </c>
      <c r="D57" s="113" t="s">
        <v>3</v>
      </c>
      <c r="E57" s="370"/>
      <c r="F57" s="370"/>
      <c r="G57" s="370"/>
      <c r="H57" s="370"/>
      <c r="I57" s="370"/>
      <c r="J57" s="483"/>
      <c r="K57" s="483"/>
      <c r="L57" s="483"/>
      <c r="M57" s="483"/>
      <c r="N57" s="483"/>
      <c r="O57" s="483"/>
      <c r="P57" s="484"/>
      <c r="Q57" s="484"/>
    </row>
    <row r="58" spans="1:17">
      <c r="B58" s="98"/>
      <c r="C58" s="376"/>
      <c r="D58" s="69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</row>
    <row r="59" spans="1:17">
      <c r="B59" s="59" t="s">
        <v>66</v>
      </c>
      <c r="C59" s="57">
        <f>D73</f>
        <v>65.061112591859271</v>
      </c>
      <c r="D59" s="57">
        <f>$K$37/100*C59</f>
        <v>13801.747080551799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67</v>
      </c>
      <c r="C60" s="57">
        <f t="shared" ref="C60:C65" si="18">D74</f>
        <v>4.4473213265811209</v>
      </c>
      <c r="D60" s="57">
        <f t="shared" ref="D60:D65" si="19">$K$37/100*C60</f>
        <v>943.43305378852335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60" t="s">
        <v>68</v>
      </c>
      <c r="C61" s="57">
        <f t="shared" si="18"/>
        <v>8.795644061988348</v>
      </c>
      <c r="D61" s="57">
        <f t="shared" si="19"/>
        <v>1865.8650293249052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>
      <c r="B62" s="59" t="s">
        <v>69</v>
      </c>
      <c r="C62" s="57">
        <f t="shared" si="18"/>
        <v>8.928911396260899</v>
      </c>
      <c r="D62" s="57">
        <f t="shared" si="19"/>
        <v>1894.1357115874036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>
      <c r="B63" s="59" t="s">
        <v>70</v>
      </c>
      <c r="C63" s="57">
        <f t="shared" si="18"/>
        <v>6.1036439096828241</v>
      </c>
      <c r="D63" s="57">
        <f t="shared" si="19"/>
        <v>1294.7972476224343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9" t="s">
        <v>71</v>
      </c>
      <c r="C64" s="57">
        <f t="shared" si="18"/>
        <v>3.2897993374709675</v>
      </c>
      <c r="D64" s="57">
        <f t="shared" si="19"/>
        <v>697.88198499425039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7">
      <c r="B65" s="59" t="s">
        <v>72</v>
      </c>
      <c r="C65" s="57">
        <f t="shared" si="18"/>
        <v>3.3735673761565699</v>
      </c>
      <c r="D65" s="57">
        <f t="shared" si="19"/>
        <v>715.65212813067785</v>
      </c>
      <c r="E65" s="63"/>
      <c r="F65" s="63"/>
      <c r="G65" s="63"/>
      <c r="H65" s="63"/>
      <c r="I65" s="174"/>
      <c r="J65" s="174"/>
      <c r="K65" s="63"/>
      <c r="L65" s="63"/>
      <c r="M65" s="63"/>
      <c r="N65" s="63"/>
      <c r="O65" s="63"/>
      <c r="P65" s="63"/>
      <c r="Q65" s="63"/>
    </row>
    <row r="66" spans="2:17">
      <c r="B66" s="58" t="s">
        <v>64</v>
      </c>
      <c r="C66" s="57">
        <v>100</v>
      </c>
      <c r="D66" s="57">
        <f>SUM(D59:D65)</f>
        <v>21213.512235999999</v>
      </c>
      <c r="E66" s="63"/>
      <c r="F66" s="63"/>
      <c r="G66" s="63"/>
      <c r="H66" s="63"/>
      <c r="I66" s="174"/>
      <c r="J66" s="174"/>
      <c r="K66" s="63"/>
      <c r="L66" s="63"/>
      <c r="M66" s="63"/>
      <c r="N66" s="63"/>
      <c r="O66" s="63"/>
      <c r="P66" s="63"/>
      <c r="Q66" s="63"/>
    </row>
    <row r="67" spans="2:17">
      <c r="B67" s="55" t="s">
        <v>187</v>
      </c>
      <c r="I67" s="173"/>
      <c r="J67" s="174"/>
    </row>
    <row r="68" spans="2:17">
      <c r="I68" s="173"/>
      <c r="J68" s="174"/>
    </row>
    <row r="69" spans="2:17">
      <c r="I69" s="173"/>
      <c r="J69" s="174"/>
    </row>
    <row r="70" spans="2:17">
      <c r="B70" s="376" t="s">
        <v>188</v>
      </c>
      <c r="C70" s="69"/>
      <c r="D70" s="69"/>
      <c r="E70" s="107"/>
      <c r="F70" s="107"/>
      <c r="G70" s="107"/>
      <c r="I70" s="173"/>
      <c r="J70" s="174"/>
    </row>
    <row r="71" spans="2:17">
      <c r="B71" s="376" t="s">
        <v>143</v>
      </c>
      <c r="C71" s="69" t="s">
        <v>199</v>
      </c>
      <c r="D71" s="69"/>
      <c r="E71" s="68"/>
      <c r="F71" s="68"/>
      <c r="G71" s="68"/>
    </row>
    <row r="72" spans="2:17">
      <c r="B72" s="59"/>
      <c r="C72" s="57" t="s">
        <v>142</v>
      </c>
      <c r="D72" s="108" t="s">
        <v>191</v>
      </c>
      <c r="E72" s="68"/>
      <c r="F72" s="68"/>
      <c r="G72" s="68"/>
    </row>
    <row r="73" spans="2:17">
      <c r="B73" s="59" t="s">
        <v>66</v>
      </c>
      <c r="C73" s="57">
        <f>C89</f>
        <v>16516.799367008713</v>
      </c>
      <c r="D73" s="57">
        <f>C73/$C$80*100</f>
        <v>65.061112591859271</v>
      </c>
      <c r="E73" s="68" t="s">
        <v>227</v>
      </c>
      <c r="F73" s="68"/>
      <c r="G73" s="68"/>
    </row>
    <row r="74" spans="2:17">
      <c r="B74" s="60" t="s">
        <v>67</v>
      </c>
      <c r="C74" s="57">
        <f t="shared" ref="C74:C79" si="20">C90</f>
        <v>1129.0233312264397</v>
      </c>
      <c r="D74" s="57">
        <f t="shared" ref="D74:D79" si="21">C74/$C$80*100</f>
        <v>4.4473213265811209</v>
      </c>
      <c r="E74" s="68"/>
      <c r="F74" s="68"/>
      <c r="G74" s="68"/>
    </row>
    <row r="75" spans="2:17">
      <c r="B75" s="59" t="s">
        <v>68</v>
      </c>
      <c r="C75" s="57">
        <f t="shared" si="20"/>
        <v>2232.9142937783181</v>
      </c>
      <c r="D75" s="57">
        <f t="shared" si="21"/>
        <v>8.795644061988348</v>
      </c>
      <c r="E75" s="68"/>
      <c r="F75" s="68"/>
      <c r="G75" s="68"/>
    </row>
    <row r="76" spans="2:17">
      <c r="B76" s="59" t="s">
        <v>69</v>
      </c>
      <c r="C76" s="57">
        <f t="shared" si="20"/>
        <v>2266.7463285325352</v>
      </c>
      <c r="D76" s="57">
        <f t="shared" si="21"/>
        <v>8.928911396260899</v>
      </c>
      <c r="E76" s="68"/>
      <c r="F76" s="68"/>
      <c r="G76" s="68"/>
    </row>
    <row r="77" spans="2:17">
      <c r="B77" s="59" t="s">
        <v>70</v>
      </c>
      <c r="C77" s="57">
        <f t="shared" si="20"/>
        <v>1549.5071917431362</v>
      </c>
      <c r="D77" s="57">
        <f t="shared" si="21"/>
        <v>6.1036439096828241</v>
      </c>
      <c r="E77" s="68"/>
      <c r="F77" s="68"/>
      <c r="G77" s="68"/>
    </row>
    <row r="78" spans="2:17">
      <c r="B78" s="59" t="s">
        <v>71</v>
      </c>
      <c r="C78" s="57">
        <f t="shared" si="20"/>
        <v>835.16794364695568</v>
      </c>
      <c r="D78" s="57">
        <f t="shared" si="21"/>
        <v>3.2897993374709675</v>
      </c>
      <c r="E78" s="68"/>
      <c r="F78" s="68"/>
      <c r="G78" s="68"/>
    </row>
    <row r="79" spans="2:17">
      <c r="B79" s="58" t="s">
        <v>72</v>
      </c>
      <c r="C79" s="57">
        <f t="shared" si="20"/>
        <v>856.43379406389181</v>
      </c>
      <c r="D79" s="57">
        <f t="shared" si="21"/>
        <v>3.3735673761565699</v>
      </c>
      <c r="E79" s="68"/>
      <c r="F79" s="68"/>
      <c r="G79" s="68"/>
    </row>
    <row r="80" spans="2:17">
      <c r="B80" s="69" t="s">
        <v>64</v>
      </c>
      <c r="C80" s="57">
        <f>SUM(C73:C79)</f>
        <v>25386.592249999991</v>
      </c>
      <c r="D80" s="57">
        <f>SUM(D73:D79)</f>
        <v>100</v>
      </c>
      <c r="E80" s="68"/>
      <c r="F80" s="68"/>
      <c r="G80" s="68"/>
    </row>
    <row r="81" spans="2:6">
      <c r="B81" s="55" t="s">
        <v>192</v>
      </c>
      <c r="D81" s="55" t="s">
        <v>193</v>
      </c>
    </row>
    <row r="83" spans="2:6">
      <c r="B83" s="55" t="s">
        <v>165</v>
      </c>
    </row>
    <row r="85" spans="2:6">
      <c r="B85" s="197" t="s">
        <v>240</v>
      </c>
      <c r="C85" s="55">
        <v>76600</v>
      </c>
    </row>
    <row r="86" spans="2:6">
      <c r="B86" s="197" t="s">
        <v>220</v>
      </c>
      <c r="C86" s="55">
        <v>22100</v>
      </c>
      <c r="E86" s="485" t="s">
        <v>207</v>
      </c>
      <c r="F86" s="485"/>
    </row>
    <row r="87" spans="2:6" ht="26.4">
      <c r="B87" s="376" t="s">
        <v>143</v>
      </c>
      <c r="C87" s="69" t="s">
        <v>199</v>
      </c>
      <c r="D87" s="69"/>
      <c r="E87" s="69" t="s">
        <v>219</v>
      </c>
      <c r="F87" s="172" t="s">
        <v>221</v>
      </c>
    </row>
    <row r="88" spans="2:6">
      <c r="B88" s="59"/>
      <c r="C88" s="57" t="s">
        <v>142</v>
      </c>
      <c r="D88" s="108" t="s">
        <v>191</v>
      </c>
      <c r="E88" s="69"/>
      <c r="F88" s="69"/>
    </row>
    <row r="89" spans="2:6">
      <c r="B89" s="122" t="s">
        <v>66</v>
      </c>
      <c r="C89" s="171">
        <v>16516.799367008713</v>
      </c>
      <c r="D89" s="57">
        <f>C89/$C$80*100</f>
        <v>65.061112591859271</v>
      </c>
      <c r="E89" s="57">
        <f>D89/$D$96*$C$85</f>
        <v>49836.812245364199</v>
      </c>
      <c r="F89" s="56">
        <f>$C$86*D89*0.01</f>
        <v>14378.505882800899</v>
      </c>
    </row>
    <row r="90" spans="2:6">
      <c r="B90" s="124" t="s">
        <v>67</v>
      </c>
      <c r="C90" s="171">
        <v>1129.0233312264397</v>
      </c>
      <c r="D90" s="57">
        <f t="shared" ref="D90:D95" si="22">C90/$C$80*100</f>
        <v>4.4473213265811209</v>
      </c>
      <c r="E90" s="57">
        <f t="shared" ref="E90:E95" si="23">D90/$D$96*$C$85</f>
        <v>3406.6481361611386</v>
      </c>
      <c r="F90" s="56">
        <f t="shared" ref="F90:F95" si="24">$C$86*D90*0.01</f>
        <v>982.85801317442781</v>
      </c>
    </row>
    <row r="91" spans="2:6">
      <c r="B91" s="122" t="s">
        <v>68</v>
      </c>
      <c r="C91" s="171">
        <v>2232.9142937783181</v>
      </c>
      <c r="D91" s="57">
        <f t="shared" si="22"/>
        <v>8.795644061988348</v>
      </c>
      <c r="E91" s="57">
        <f t="shared" si="23"/>
        <v>6737.4633514830739</v>
      </c>
      <c r="F91" s="56">
        <f t="shared" si="24"/>
        <v>1943.8373376994248</v>
      </c>
    </row>
    <row r="92" spans="2:6">
      <c r="B92" s="122" t="s">
        <v>69</v>
      </c>
      <c r="C92" s="171">
        <v>2266.7463285325352</v>
      </c>
      <c r="D92" s="57">
        <f t="shared" si="22"/>
        <v>8.928911396260899</v>
      </c>
      <c r="E92" s="57">
        <f t="shared" si="23"/>
        <v>6839.5461295358491</v>
      </c>
      <c r="F92" s="56">
        <f t="shared" si="24"/>
        <v>1973.2894185736586</v>
      </c>
    </row>
    <row r="93" spans="2:6">
      <c r="B93" s="122" t="s">
        <v>70</v>
      </c>
      <c r="C93" s="171">
        <v>1549.5071917431362</v>
      </c>
      <c r="D93" s="57">
        <f t="shared" si="22"/>
        <v>6.1036439096828241</v>
      </c>
      <c r="E93" s="57">
        <f t="shared" si="23"/>
        <v>4675.3912348170434</v>
      </c>
      <c r="F93" s="56">
        <f t="shared" si="24"/>
        <v>1348.9053040399042</v>
      </c>
    </row>
    <row r="94" spans="2:6">
      <c r="B94" s="122" t="s">
        <v>71</v>
      </c>
      <c r="C94" s="171">
        <v>835.16794364695568</v>
      </c>
      <c r="D94" s="57">
        <f t="shared" si="22"/>
        <v>3.2897993374709675</v>
      </c>
      <c r="E94" s="57">
        <f t="shared" si="23"/>
        <v>2519.986292502761</v>
      </c>
      <c r="F94" s="56">
        <f t="shared" si="24"/>
        <v>727.0456535810838</v>
      </c>
    </row>
    <row r="95" spans="2:6">
      <c r="B95" s="123" t="s">
        <v>72</v>
      </c>
      <c r="C95" s="171">
        <v>856.43379406389181</v>
      </c>
      <c r="D95" s="57">
        <f t="shared" si="22"/>
        <v>3.3735673761565699</v>
      </c>
      <c r="E95" s="57">
        <f t="shared" si="23"/>
        <v>2584.1526101359327</v>
      </c>
      <c r="F95" s="56">
        <f t="shared" si="24"/>
        <v>745.55839013060188</v>
      </c>
    </row>
    <row r="96" spans="2:6">
      <c r="B96" s="69" t="s">
        <v>64</v>
      </c>
      <c r="C96" s="57">
        <f>SUM(C89:C95)</f>
        <v>25386.592249999991</v>
      </c>
      <c r="D96" s="57">
        <f>SUM(D89:D95)</f>
        <v>100</v>
      </c>
      <c r="E96" s="56">
        <f>SUM(E89:E95)</f>
        <v>76599.999999999985</v>
      </c>
      <c r="F96" s="56">
        <f>SUM(F89:F95)</f>
        <v>22100</v>
      </c>
    </row>
  </sheetData>
  <mergeCells count="26">
    <mergeCell ref="L57:M57"/>
    <mergeCell ref="N57:O57"/>
    <mergeCell ref="P57:Q57"/>
    <mergeCell ref="E86:F86"/>
    <mergeCell ref="A40:A41"/>
    <mergeCell ref="B40:B41"/>
    <mergeCell ref="C40:C41"/>
    <mergeCell ref="D41:E41"/>
    <mergeCell ref="F41:G41"/>
    <mergeCell ref="J57:K57"/>
    <mergeCell ref="A39:K39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K27:K28"/>
  </mergeCells>
  <pageMargins left="0.75" right="0.75" top="1" bottom="1" header="0.5" footer="0.5"/>
  <pageSetup scale="86" orientation="landscape" r:id="rId1"/>
  <headerFooter alignWithMargins="0"/>
  <rowBreaks count="1" manualBreakCount="1">
    <brk id="38" max="10" man="1"/>
  </rowBreaks>
  <colBreaks count="1" manualBreakCount="1">
    <brk id="13" max="4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Q96"/>
  <sheetViews>
    <sheetView topLeftCell="A64" zoomScale="130" zoomScaleNormal="130" zoomScaleSheetLayoutView="85" zoomScalePageLayoutView="154" workbookViewId="0">
      <selection activeCell="C36" sqref="C36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1.4414062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10.33203125" style="55" customWidth="1"/>
    <col min="10" max="11" width="10.4414062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D73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D74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 t="s">
        <v>203</v>
      </c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371" t="s">
        <v>156</v>
      </c>
      <c r="G28" s="372" t="s">
        <v>155</v>
      </c>
      <c r="H28" s="485"/>
      <c r="I28" s="508"/>
      <c r="J28" s="493"/>
      <c r="K28" s="493"/>
      <c r="M28" s="70"/>
    </row>
    <row r="29" spans="1:13" ht="22.5" customHeight="1">
      <c r="A29" s="371">
        <v>1</v>
      </c>
      <c r="B29" s="372">
        <v>2</v>
      </c>
      <c r="C29" s="371">
        <v>3</v>
      </c>
      <c r="D29" s="373">
        <v>4</v>
      </c>
      <c r="E29" s="373">
        <v>5</v>
      </c>
      <c r="F29" s="371">
        <v>6</v>
      </c>
      <c r="G29" s="372">
        <v>7</v>
      </c>
      <c r="H29" s="374">
        <v>8</v>
      </c>
      <c r="I29" s="374">
        <v>9</v>
      </c>
      <c r="J29" s="369">
        <v>10</v>
      </c>
      <c r="K29" s="369">
        <v>11</v>
      </c>
      <c r="M29" s="70"/>
    </row>
    <row r="30" spans="1:13" ht="26.25" customHeight="1">
      <c r="A30" s="279" t="s">
        <v>304</v>
      </c>
      <c r="B30" s="280" t="s">
        <v>315</v>
      </c>
      <c r="C30" s="404">
        <v>4150000</v>
      </c>
      <c r="D30" s="402">
        <v>0</v>
      </c>
      <c r="E30" s="57">
        <f t="shared" ref="E30:E36" si="1">C30-D30</f>
        <v>4150000</v>
      </c>
      <c r="F30" s="57">
        <v>3.1</v>
      </c>
      <c r="G30" s="57">
        <f t="shared" ref="G30:G36" si="2">E30*F30/100</f>
        <v>128650</v>
      </c>
      <c r="H30" s="57">
        <f t="shared" ref="H30:H36" si="3">E30-G30</f>
        <v>4021350</v>
      </c>
      <c r="I30" s="57">
        <f t="shared" ref="I30:I36" si="4">H30*0.025</f>
        <v>100533.75</v>
      </c>
      <c r="J30" s="57">
        <f t="shared" ref="J30:J36" si="5">I30*0.8</f>
        <v>80427</v>
      </c>
      <c r="K30" s="57">
        <f t="shared" ref="K30:K36" si="6">I30-J30</f>
        <v>20106.75</v>
      </c>
      <c r="M30" s="70"/>
    </row>
    <row r="31" spans="1:13">
      <c r="A31" s="66">
        <v>29</v>
      </c>
      <c r="B31" s="64" t="s">
        <v>59</v>
      </c>
      <c r="C31" s="405">
        <v>86000</v>
      </c>
      <c r="D31" s="403">
        <v>0</v>
      </c>
      <c r="E31" s="57">
        <f t="shared" si="1"/>
        <v>86000</v>
      </c>
      <c r="F31" s="57">
        <v>25</v>
      </c>
      <c r="G31" s="57">
        <f t="shared" si="2"/>
        <v>21500</v>
      </c>
      <c r="H31" s="57">
        <f t="shared" si="3"/>
        <v>64500</v>
      </c>
      <c r="I31" s="57">
        <f t="shared" si="4"/>
        <v>1612.5</v>
      </c>
      <c r="J31" s="57">
        <f t="shared" si="5"/>
        <v>1290</v>
      </c>
      <c r="K31" s="57">
        <f t="shared" si="6"/>
        <v>322.5</v>
      </c>
    </row>
    <row r="32" spans="1:13">
      <c r="A32" s="66">
        <v>30</v>
      </c>
      <c r="B32" s="64" t="s">
        <v>148</v>
      </c>
      <c r="C32" s="405">
        <v>161400</v>
      </c>
      <c r="D32" s="403">
        <v>0</v>
      </c>
      <c r="E32" s="57">
        <f t="shared" si="1"/>
        <v>161400</v>
      </c>
      <c r="F32" s="57">
        <v>25</v>
      </c>
      <c r="G32" s="57">
        <f t="shared" si="2"/>
        <v>40350</v>
      </c>
      <c r="H32" s="57">
        <f t="shared" si="3"/>
        <v>121050</v>
      </c>
      <c r="I32" s="57">
        <f t="shared" si="4"/>
        <v>3026.25</v>
      </c>
      <c r="J32" s="57">
        <f t="shared" si="5"/>
        <v>2421</v>
      </c>
      <c r="K32" s="57">
        <f t="shared" si="6"/>
        <v>605.25</v>
      </c>
    </row>
    <row r="33" spans="1:11">
      <c r="A33" s="66">
        <v>39</v>
      </c>
      <c r="B33" s="67" t="s">
        <v>147</v>
      </c>
      <c r="C33" s="405">
        <v>2070000</v>
      </c>
      <c r="D33" s="403">
        <v>0</v>
      </c>
      <c r="E33" s="57">
        <f t="shared" si="1"/>
        <v>2070000</v>
      </c>
      <c r="F33" s="57">
        <v>6.32</v>
      </c>
      <c r="G33" s="57">
        <f t="shared" si="2"/>
        <v>130824</v>
      </c>
      <c r="H33" s="57">
        <f t="shared" si="3"/>
        <v>1939176</v>
      </c>
      <c r="I33" s="57">
        <f t="shared" si="4"/>
        <v>48479.4</v>
      </c>
      <c r="J33" s="57">
        <f t="shared" si="5"/>
        <v>38783.520000000004</v>
      </c>
      <c r="K33" s="57">
        <f t="shared" si="6"/>
        <v>9695.8799999999974</v>
      </c>
    </row>
    <row r="34" spans="1:11">
      <c r="A34" s="66">
        <v>40</v>
      </c>
      <c r="B34" s="64" t="s">
        <v>146</v>
      </c>
      <c r="C34" s="405">
        <v>2000002</v>
      </c>
      <c r="D34" s="403">
        <v>0</v>
      </c>
      <c r="E34" s="57">
        <f t="shared" si="1"/>
        <v>2000002</v>
      </c>
      <c r="F34" s="57">
        <v>3.1</v>
      </c>
      <c r="G34" s="57">
        <f t="shared" si="2"/>
        <v>62000.062000000005</v>
      </c>
      <c r="H34" s="57">
        <f t="shared" si="3"/>
        <v>1938001.9380000001</v>
      </c>
      <c r="I34" s="57">
        <f t="shared" si="4"/>
        <v>48450.048450000002</v>
      </c>
      <c r="J34" s="57">
        <f t="shared" si="5"/>
        <v>38760.038760000003</v>
      </c>
      <c r="K34" s="57">
        <f t="shared" si="6"/>
        <v>9690.009689999999</v>
      </c>
    </row>
    <row r="35" spans="1:11">
      <c r="A35" s="66">
        <v>41</v>
      </c>
      <c r="B35" s="64" t="s">
        <v>145</v>
      </c>
      <c r="C35" s="405">
        <v>3811550</v>
      </c>
      <c r="D35" s="403">
        <v>0</v>
      </c>
      <c r="E35" s="57">
        <f t="shared" si="1"/>
        <v>3811550</v>
      </c>
      <c r="F35" s="57">
        <v>17.010000000000002</v>
      </c>
      <c r="G35" s="57">
        <f t="shared" si="2"/>
        <v>648344.65500000003</v>
      </c>
      <c r="H35" s="57">
        <f t="shared" si="3"/>
        <v>3163205.3449999997</v>
      </c>
      <c r="I35" s="57">
        <f t="shared" si="4"/>
        <v>79080.133625000002</v>
      </c>
      <c r="J35" s="57">
        <f t="shared" si="5"/>
        <v>63264.106900000006</v>
      </c>
      <c r="K35" s="57">
        <f t="shared" si="6"/>
        <v>15816.026724999996</v>
      </c>
    </row>
    <row r="36" spans="1:11">
      <c r="A36" s="66">
        <v>45</v>
      </c>
      <c r="B36" s="64" t="s">
        <v>144</v>
      </c>
      <c r="C36" s="405">
        <v>443212</v>
      </c>
      <c r="D36" s="405">
        <v>410001</v>
      </c>
      <c r="E36" s="57">
        <f t="shared" si="1"/>
        <v>33211</v>
      </c>
      <c r="F36" s="57">
        <v>25</v>
      </c>
      <c r="G36" s="57">
        <f t="shared" si="2"/>
        <v>8302.75</v>
      </c>
      <c r="H36" s="57">
        <f t="shared" si="3"/>
        <v>24908.25</v>
      </c>
      <c r="I36" s="57">
        <f t="shared" si="4"/>
        <v>622.70625000000007</v>
      </c>
      <c r="J36" s="57">
        <f t="shared" si="5"/>
        <v>498.16500000000008</v>
      </c>
      <c r="K36" s="57">
        <f t="shared" si="6"/>
        <v>124.54124999999999</v>
      </c>
    </row>
    <row r="37" spans="1:11">
      <c r="A37" s="65"/>
      <c r="B37" s="64" t="s">
        <v>3</v>
      </c>
      <c r="C37" s="401">
        <f>SUM(C30:C36)</f>
        <v>12722164</v>
      </c>
      <c r="D37" s="401">
        <f>SUM(D30:D36)</f>
        <v>410001</v>
      </c>
      <c r="E37" s="57">
        <f>SUM(E30:E36)</f>
        <v>12312163</v>
      </c>
      <c r="F37" s="69"/>
      <c r="G37" s="57">
        <f t="shared" ref="G37:J37" si="7">SUM(G30:G36)</f>
        <v>1039971.4670000001</v>
      </c>
      <c r="H37" s="57">
        <f t="shared" si="7"/>
        <v>11272191.533</v>
      </c>
      <c r="I37" s="57">
        <f t="shared" si="7"/>
        <v>281804.78832499997</v>
      </c>
      <c r="J37" s="57">
        <f t="shared" si="7"/>
        <v>225443.83066000004</v>
      </c>
      <c r="K37" s="57">
        <f>SUM(K30:K36)</f>
        <v>56360.957664999994</v>
      </c>
    </row>
    <row r="38" spans="1:11">
      <c r="A38" s="375"/>
      <c r="B38" s="3"/>
      <c r="C38" s="68"/>
      <c r="D38" s="68"/>
      <c r="E38" s="68"/>
      <c r="F38" s="169"/>
      <c r="G38" s="63"/>
      <c r="H38" s="63"/>
      <c r="I38" s="63"/>
      <c r="J38" s="63"/>
      <c r="K38" s="63"/>
    </row>
    <row r="39" spans="1:11">
      <c r="A39" s="483" t="s">
        <v>154</v>
      </c>
      <c r="B39" s="483"/>
      <c r="C39" s="483"/>
      <c r="D39" s="483"/>
      <c r="E39" s="483"/>
      <c r="F39" s="483"/>
      <c r="G39" s="483"/>
      <c r="H39" s="483"/>
      <c r="I39" s="483"/>
      <c r="J39" s="483"/>
      <c r="K39" s="483"/>
    </row>
    <row r="40" spans="1:11">
      <c r="A40" s="486" t="s">
        <v>153</v>
      </c>
      <c r="B40" s="487" t="s">
        <v>152</v>
      </c>
      <c r="C40" s="488" t="s">
        <v>151</v>
      </c>
      <c r="D40" s="103" t="s">
        <v>150</v>
      </c>
      <c r="E40" s="106" t="s">
        <v>149</v>
      </c>
      <c r="F40" s="68"/>
      <c r="G40" s="104"/>
      <c r="H40" s="63"/>
      <c r="I40" s="63"/>
      <c r="J40" s="63"/>
      <c r="K40" s="63"/>
    </row>
    <row r="41" spans="1:11">
      <c r="A41" s="486"/>
      <c r="B41" s="487"/>
      <c r="C41" s="485"/>
      <c r="D41" s="489" t="s">
        <v>228</v>
      </c>
      <c r="E41" s="490"/>
      <c r="F41" s="491"/>
      <c r="G41" s="491"/>
      <c r="H41" s="63"/>
      <c r="I41" s="63"/>
      <c r="J41" s="63"/>
      <c r="K41" s="63"/>
    </row>
    <row r="42" spans="1:11">
      <c r="A42" s="371"/>
      <c r="B42" s="372"/>
      <c r="C42" s="374"/>
      <c r="D42" s="372"/>
      <c r="E42" s="372"/>
      <c r="F42" s="377"/>
      <c r="G42" s="377"/>
      <c r="H42" s="63"/>
      <c r="I42" s="63"/>
      <c r="J42" s="63"/>
      <c r="K42" s="63"/>
    </row>
    <row r="43" spans="1:11">
      <c r="A43" s="371">
        <v>1</v>
      </c>
      <c r="B43" s="372">
        <v>2</v>
      </c>
      <c r="C43" s="374">
        <v>3</v>
      </c>
      <c r="D43" s="374">
        <v>4</v>
      </c>
      <c r="E43" s="374">
        <v>5</v>
      </c>
      <c r="F43" s="375"/>
      <c r="G43" s="105"/>
      <c r="H43" s="63"/>
      <c r="I43" s="63"/>
      <c r="J43" s="63"/>
      <c r="K43" s="63"/>
    </row>
    <row r="44" spans="1:11" ht="26.4">
      <c r="A44" s="279" t="s">
        <v>304</v>
      </c>
      <c r="B44" s="280" t="s">
        <v>305</v>
      </c>
      <c r="C44" s="121">
        <f>J30</f>
        <v>80427</v>
      </c>
      <c r="D44" s="57">
        <f t="shared" ref="D44:D50" si="8">C44*0.3</f>
        <v>24128.1</v>
      </c>
      <c r="E44" s="57">
        <f t="shared" ref="E44:E50" si="9">C44-D44</f>
        <v>56298.9</v>
      </c>
      <c r="F44" s="375"/>
      <c r="G44" s="105"/>
      <c r="H44" s="63"/>
      <c r="I44" s="63"/>
      <c r="J44" s="63"/>
      <c r="K44" s="63"/>
    </row>
    <row r="45" spans="1:11">
      <c r="A45" s="66">
        <v>29</v>
      </c>
      <c r="B45" s="64" t="s">
        <v>59</v>
      </c>
      <c r="C45" s="57">
        <f t="shared" ref="C45:C50" si="10">J31</f>
        <v>1290</v>
      </c>
      <c r="D45" s="57">
        <f t="shared" si="8"/>
        <v>387</v>
      </c>
      <c r="E45" s="57">
        <f t="shared" si="9"/>
        <v>903</v>
      </c>
      <c r="F45" s="63"/>
      <c r="G45" s="63"/>
      <c r="H45" s="63"/>
      <c r="I45" s="63"/>
      <c r="J45" s="63"/>
      <c r="K45" s="63"/>
    </row>
    <row r="46" spans="1:11">
      <c r="A46" s="66">
        <v>30</v>
      </c>
      <c r="B46" s="64" t="s">
        <v>148</v>
      </c>
      <c r="C46" s="57">
        <f t="shared" si="10"/>
        <v>2421</v>
      </c>
      <c r="D46" s="57">
        <f t="shared" si="8"/>
        <v>726.3</v>
      </c>
      <c r="E46" s="57">
        <f t="shared" si="9"/>
        <v>1694.7</v>
      </c>
      <c r="F46" s="63"/>
      <c r="G46" s="63"/>
      <c r="H46" s="63"/>
      <c r="I46" s="63"/>
      <c r="J46" s="63"/>
      <c r="K46" s="63"/>
    </row>
    <row r="47" spans="1:11">
      <c r="A47" s="66">
        <v>39</v>
      </c>
      <c r="B47" s="67" t="s">
        <v>147</v>
      </c>
      <c r="C47" s="57">
        <f t="shared" si="10"/>
        <v>38783.520000000004</v>
      </c>
      <c r="D47" s="57">
        <f t="shared" si="8"/>
        <v>11635.056</v>
      </c>
      <c r="E47" s="57">
        <f t="shared" si="9"/>
        <v>27148.464000000004</v>
      </c>
      <c r="F47" s="63"/>
      <c r="G47" s="63"/>
      <c r="H47" s="63"/>
      <c r="I47" s="63"/>
      <c r="J47" s="63"/>
      <c r="K47" s="63"/>
    </row>
    <row r="48" spans="1:11">
      <c r="A48" s="66">
        <v>40</v>
      </c>
      <c r="B48" s="64" t="s">
        <v>146</v>
      </c>
      <c r="C48" s="57">
        <f t="shared" si="10"/>
        <v>38760.038760000003</v>
      </c>
      <c r="D48" s="57">
        <f t="shared" si="8"/>
        <v>11628.011628</v>
      </c>
      <c r="E48" s="57">
        <f t="shared" si="9"/>
        <v>27132.027132000003</v>
      </c>
      <c r="F48" s="63"/>
      <c r="G48" s="63"/>
      <c r="H48" s="63"/>
      <c r="I48" s="63"/>
      <c r="J48" s="63"/>
      <c r="K48" s="63"/>
    </row>
    <row r="49" spans="1:17">
      <c r="A49" s="66">
        <v>41</v>
      </c>
      <c r="B49" s="64" t="s">
        <v>145</v>
      </c>
      <c r="C49" s="57">
        <f t="shared" si="10"/>
        <v>63264.106900000006</v>
      </c>
      <c r="D49" s="57">
        <f t="shared" si="8"/>
        <v>18979.232070000002</v>
      </c>
      <c r="E49" s="57">
        <f t="shared" si="9"/>
        <v>44284.874830000001</v>
      </c>
      <c r="F49" s="63"/>
      <c r="G49" s="63"/>
      <c r="H49" s="63"/>
      <c r="I49" s="63"/>
      <c r="J49" s="63"/>
      <c r="K49" s="63"/>
    </row>
    <row r="50" spans="1:17">
      <c r="A50" s="66">
        <v>45</v>
      </c>
      <c r="B50" s="64" t="s">
        <v>144</v>
      </c>
      <c r="C50" s="57">
        <f t="shared" si="10"/>
        <v>498.16500000000008</v>
      </c>
      <c r="D50" s="57">
        <f t="shared" si="8"/>
        <v>149.44950000000003</v>
      </c>
      <c r="E50" s="57">
        <f t="shared" si="9"/>
        <v>348.71550000000002</v>
      </c>
      <c r="F50" s="63"/>
      <c r="G50" s="63"/>
      <c r="H50" s="63"/>
      <c r="I50" s="63"/>
      <c r="J50" s="63"/>
      <c r="K50" s="63"/>
    </row>
    <row r="51" spans="1:17">
      <c r="A51" s="65"/>
      <c r="B51" s="64" t="s">
        <v>3</v>
      </c>
      <c r="C51" s="57">
        <f>SUM(C44:C50)</f>
        <v>225443.83066000004</v>
      </c>
      <c r="D51" s="57">
        <f t="shared" ref="D51:E51" si="11">SUM(D44:D50)</f>
        <v>67633.149197999999</v>
      </c>
      <c r="E51" s="57">
        <f t="shared" si="11"/>
        <v>157810.68146200001</v>
      </c>
      <c r="F51" s="174"/>
      <c r="G51" s="174"/>
      <c r="H51" s="174"/>
      <c r="I51" s="63"/>
      <c r="J51" s="63"/>
      <c r="K51" s="63"/>
    </row>
    <row r="52" spans="1:17">
      <c r="D52" s="62"/>
      <c r="E52" s="62"/>
      <c r="J52" s="62"/>
      <c r="K52" s="62"/>
    </row>
    <row r="53" spans="1:17">
      <c r="A53" s="61"/>
      <c r="B53" s="1"/>
    </row>
    <row r="56" spans="1:17"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6.4">
      <c r="B57" s="97" t="s">
        <v>143</v>
      </c>
      <c r="C57" s="373" t="s">
        <v>186</v>
      </c>
      <c r="D57" s="113" t="s">
        <v>3</v>
      </c>
      <c r="E57" s="370"/>
      <c r="F57" s="370"/>
      <c r="G57" s="370"/>
      <c r="H57" s="370"/>
      <c r="I57" s="370"/>
      <c r="J57" s="483"/>
      <c r="K57" s="483"/>
      <c r="L57" s="483"/>
      <c r="M57" s="483"/>
      <c r="N57" s="483"/>
      <c r="O57" s="483"/>
      <c r="P57" s="484"/>
      <c r="Q57" s="484"/>
    </row>
    <row r="58" spans="1:17">
      <c r="B58" s="98"/>
      <c r="C58" s="376"/>
      <c r="D58" s="69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</row>
    <row r="59" spans="1:17">
      <c r="B59" s="59" t="s">
        <v>66</v>
      </c>
      <c r="C59" s="57">
        <f>D73</f>
        <v>65.061112591859271</v>
      </c>
      <c r="D59" s="56">
        <f>$K$37/100*C59</f>
        <v>36669.066124275778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67</v>
      </c>
      <c r="C60" s="57">
        <f t="shared" ref="C60:C65" si="12">D74</f>
        <v>4.4473213265811209</v>
      </c>
      <c r="D60" s="56">
        <f t="shared" ref="D60:D65" si="13">$K$37/100*C60</f>
        <v>2506.5528901009015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60" t="s">
        <v>68</v>
      </c>
      <c r="C61" s="57">
        <f t="shared" si="12"/>
        <v>8.795644061988348</v>
      </c>
      <c r="D61" s="56">
        <f t="shared" si="13"/>
        <v>4957.3092261413385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>
      <c r="B62" s="59" t="s">
        <v>69</v>
      </c>
      <c r="C62" s="57">
        <f t="shared" si="12"/>
        <v>8.928911396260899</v>
      </c>
      <c r="D62" s="56">
        <f t="shared" si="13"/>
        <v>5032.4199719919643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>
      <c r="B63" s="59" t="s">
        <v>70</v>
      </c>
      <c r="C63" s="57">
        <f t="shared" si="12"/>
        <v>6.1036439096828241</v>
      </c>
      <c r="D63" s="56">
        <f t="shared" si="13"/>
        <v>3440.0721599586868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9" t="s">
        <v>71</v>
      </c>
      <c r="C64" s="57">
        <f t="shared" si="12"/>
        <v>3.2897993374709675</v>
      </c>
      <c r="D64" s="56">
        <f t="shared" si="13"/>
        <v>1854.1624118554621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7">
      <c r="B65" s="59" t="s">
        <v>72</v>
      </c>
      <c r="C65" s="57">
        <f t="shared" si="12"/>
        <v>3.3735673761565699</v>
      </c>
      <c r="D65" s="56">
        <f t="shared" si="13"/>
        <v>1901.3748806758554</v>
      </c>
      <c r="E65" s="63"/>
      <c r="F65" s="63"/>
      <c r="G65" s="63"/>
      <c r="H65" s="63"/>
      <c r="I65" s="174"/>
      <c r="J65" s="174"/>
      <c r="K65" s="63"/>
      <c r="L65" s="63"/>
      <c r="M65" s="63"/>
      <c r="N65" s="63"/>
      <c r="O65" s="63"/>
      <c r="P65" s="63"/>
      <c r="Q65" s="63"/>
    </row>
    <row r="66" spans="2:17">
      <c r="B66" s="58" t="s">
        <v>64</v>
      </c>
      <c r="C66" s="57">
        <v>100</v>
      </c>
      <c r="D66" s="56">
        <f>SUM(D59:D65)</f>
        <v>56360.95766499998</v>
      </c>
      <c r="E66" s="63"/>
      <c r="F66" s="63"/>
      <c r="G66" s="63"/>
      <c r="H66" s="63"/>
      <c r="I66" s="174"/>
      <c r="J66" s="174"/>
      <c r="K66" s="63"/>
      <c r="L66" s="63"/>
      <c r="M66" s="63"/>
      <c r="N66" s="63"/>
      <c r="O66" s="63"/>
      <c r="P66" s="63"/>
      <c r="Q66" s="63"/>
    </row>
    <row r="67" spans="2:17">
      <c r="B67" s="55" t="s">
        <v>187</v>
      </c>
      <c r="I67" s="173"/>
      <c r="J67" s="174"/>
    </row>
    <row r="68" spans="2:17">
      <c r="I68" s="173"/>
      <c r="J68" s="174"/>
    </row>
    <row r="69" spans="2:17">
      <c r="I69" s="173"/>
      <c r="J69" s="174"/>
    </row>
    <row r="70" spans="2:17">
      <c r="B70" s="376" t="s">
        <v>188</v>
      </c>
      <c r="C70" s="69"/>
      <c r="D70" s="69"/>
      <c r="E70" s="107"/>
      <c r="F70" s="107"/>
      <c r="G70" s="107"/>
      <c r="I70" s="173"/>
      <c r="J70" s="174"/>
    </row>
    <row r="71" spans="2:17">
      <c r="B71" s="376" t="s">
        <v>143</v>
      </c>
      <c r="C71" s="69" t="s">
        <v>199</v>
      </c>
      <c r="D71" s="69"/>
      <c r="E71" s="68"/>
      <c r="F71" s="68"/>
      <c r="G71" s="68"/>
    </row>
    <row r="72" spans="2:17">
      <c r="B72" s="59"/>
      <c r="C72" s="57" t="s">
        <v>203</v>
      </c>
      <c r="D72" s="108" t="s">
        <v>191</v>
      </c>
      <c r="E72" s="68"/>
      <c r="F72" s="68"/>
      <c r="G72" s="68"/>
    </row>
    <row r="73" spans="2:17">
      <c r="B73" s="59" t="s">
        <v>66</v>
      </c>
      <c r="C73" s="57">
        <f>C89</f>
        <v>16516.799367008713</v>
      </c>
      <c r="D73" s="57">
        <f>C73/$C$80*100</f>
        <v>65.061112591859271</v>
      </c>
      <c r="E73" s="68" t="s">
        <v>227</v>
      </c>
      <c r="F73" s="68"/>
      <c r="G73" s="68"/>
    </row>
    <row r="74" spans="2:17">
      <c r="B74" s="60" t="s">
        <v>67</v>
      </c>
      <c r="C74" s="57">
        <f t="shared" ref="C74:C79" si="14">C90</f>
        <v>1129.0233312264397</v>
      </c>
      <c r="D74" s="57">
        <f t="shared" ref="D74:D79" si="15">C74/$C$80*100</f>
        <v>4.4473213265811209</v>
      </c>
      <c r="E74" s="68"/>
      <c r="F74" s="68"/>
      <c r="G74" s="68"/>
    </row>
    <row r="75" spans="2:17">
      <c r="B75" s="59" t="s">
        <v>68</v>
      </c>
      <c r="C75" s="57">
        <f t="shared" si="14"/>
        <v>2232.9142937783181</v>
      </c>
      <c r="D75" s="57">
        <f t="shared" si="15"/>
        <v>8.795644061988348</v>
      </c>
      <c r="E75" s="68"/>
      <c r="F75" s="68"/>
      <c r="G75" s="68"/>
    </row>
    <row r="76" spans="2:17">
      <c r="B76" s="59" t="s">
        <v>69</v>
      </c>
      <c r="C76" s="57">
        <f t="shared" si="14"/>
        <v>2266.7463285325352</v>
      </c>
      <c r="D76" s="57">
        <f t="shared" si="15"/>
        <v>8.928911396260899</v>
      </c>
      <c r="E76" s="68"/>
      <c r="F76" s="68"/>
      <c r="G76" s="68"/>
    </row>
    <row r="77" spans="2:17">
      <c r="B77" s="59" t="s">
        <v>70</v>
      </c>
      <c r="C77" s="57">
        <f t="shared" si="14"/>
        <v>1549.5071917431362</v>
      </c>
      <c r="D77" s="57">
        <f t="shared" si="15"/>
        <v>6.1036439096828241</v>
      </c>
      <c r="E77" s="68"/>
      <c r="F77" s="68"/>
      <c r="G77" s="68"/>
    </row>
    <row r="78" spans="2:17">
      <c r="B78" s="59" t="s">
        <v>71</v>
      </c>
      <c r="C78" s="57">
        <f t="shared" si="14"/>
        <v>835.16794364695568</v>
      </c>
      <c r="D78" s="57">
        <f t="shared" si="15"/>
        <v>3.2897993374709675</v>
      </c>
      <c r="E78" s="68"/>
      <c r="F78" s="68"/>
      <c r="G78" s="68"/>
    </row>
    <row r="79" spans="2:17">
      <c r="B79" s="58" t="s">
        <v>72</v>
      </c>
      <c r="C79" s="57">
        <f t="shared" si="14"/>
        <v>856.43379406389181</v>
      </c>
      <c r="D79" s="57">
        <f t="shared" si="15"/>
        <v>3.3735673761565699</v>
      </c>
      <c r="E79" s="68"/>
      <c r="F79" s="68"/>
      <c r="G79" s="68"/>
    </row>
    <row r="80" spans="2:17">
      <c r="B80" s="69" t="s">
        <v>64</v>
      </c>
      <c r="C80" s="57">
        <f>SUM(C73:C79)</f>
        <v>25386.592249999991</v>
      </c>
      <c r="D80" s="57">
        <f>SUM(D73:D79)</f>
        <v>100</v>
      </c>
      <c r="E80" s="68"/>
      <c r="F80" s="68"/>
      <c r="G80" s="68"/>
    </row>
    <row r="81" spans="2:8">
      <c r="B81" s="55" t="s">
        <v>192</v>
      </c>
      <c r="D81" s="55" t="s">
        <v>193</v>
      </c>
    </row>
    <row r="83" spans="2:8">
      <c r="B83" s="273" t="s">
        <v>165</v>
      </c>
      <c r="C83" s="273"/>
      <c r="D83" s="273"/>
      <c r="E83" s="273"/>
      <c r="F83" s="273"/>
      <c r="G83" s="273"/>
      <c r="H83" s="273"/>
    </row>
    <row r="85" spans="2:8" ht="26.4">
      <c r="B85" s="274" t="s">
        <v>319</v>
      </c>
      <c r="C85" s="273">
        <v>119800</v>
      </c>
    </row>
    <row r="86" spans="2:8">
      <c r="B86" s="274" t="s">
        <v>220</v>
      </c>
      <c r="C86" s="273">
        <v>32900</v>
      </c>
      <c r="E86" s="511" t="s">
        <v>203</v>
      </c>
      <c r="F86" s="511"/>
    </row>
    <row r="87" spans="2:8" ht="26.4">
      <c r="B87" s="376" t="s">
        <v>143</v>
      </c>
      <c r="C87" s="69" t="s">
        <v>199</v>
      </c>
      <c r="D87" s="69"/>
      <c r="E87" s="69" t="s">
        <v>219</v>
      </c>
      <c r="F87" s="172" t="s">
        <v>221</v>
      </c>
    </row>
    <row r="88" spans="2:8">
      <c r="B88" s="59"/>
      <c r="C88" s="57" t="s">
        <v>203</v>
      </c>
      <c r="D88" s="108" t="s">
        <v>191</v>
      </c>
      <c r="E88" s="69"/>
      <c r="F88" s="69"/>
    </row>
    <row r="89" spans="2:8">
      <c r="B89" s="275" t="s">
        <v>66</v>
      </c>
      <c r="C89" s="276">
        <v>16516.799367008713</v>
      </c>
      <c r="D89" s="277">
        <f>C89/$C$80*100</f>
        <v>65.061112591859271</v>
      </c>
      <c r="E89" s="277">
        <f>D89/$D$96*$C$85</f>
        <v>77943.212885047411</v>
      </c>
      <c r="F89" s="276">
        <f>$C$86*D89*0.01</f>
        <v>21405.106042721702</v>
      </c>
    </row>
    <row r="90" spans="2:8">
      <c r="B90" s="118" t="s">
        <v>67</v>
      </c>
      <c r="C90" s="276">
        <v>1129.0233312264397</v>
      </c>
      <c r="D90" s="277">
        <f t="shared" ref="D90:D95" si="16">C90/$C$80*100</f>
        <v>4.4473213265811209</v>
      </c>
      <c r="E90" s="277">
        <f t="shared" ref="E90:E95" si="17">D90/$D$96*$C$85</f>
        <v>5327.8909492441835</v>
      </c>
      <c r="F90" s="276">
        <f t="shared" ref="F90:F95" si="18">$C$86*D90*0.01</f>
        <v>1463.1687164451889</v>
      </c>
    </row>
    <row r="91" spans="2:8">
      <c r="B91" s="275" t="s">
        <v>68</v>
      </c>
      <c r="C91" s="276">
        <v>2232.9142937783181</v>
      </c>
      <c r="D91" s="277">
        <f t="shared" si="16"/>
        <v>8.795644061988348</v>
      </c>
      <c r="E91" s="277">
        <f t="shared" si="17"/>
        <v>10537.181586262041</v>
      </c>
      <c r="F91" s="276">
        <f t="shared" si="18"/>
        <v>2893.7668963941665</v>
      </c>
    </row>
    <row r="92" spans="2:8">
      <c r="B92" s="275" t="s">
        <v>69</v>
      </c>
      <c r="C92" s="276">
        <v>2266.7463285325352</v>
      </c>
      <c r="D92" s="277">
        <f t="shared" si="16"/>
        <v>8.928911396260899</v>
      </c>
      <c r="E92" s="277">
        <f t="shared" si="17"/>
        <v>10696.835852720558</v>
      </c>
      <c r="F92" s="276">
        <f t="shared" si="18"/>
        <v>2937.6118493698359</v>
      </c>
    </row>
    <row r="93" spans="2:8">
      <c r="B93" s="275" t="s">
        <v>70</v>
      </c>
      <c r="C93" s="276">
        <v>1549.5071917431362</v>
      </c>
      <c r="D93" s="277">
        <f t="shared" si="16"/>
        <v>6.1036439096828241</v>
      </c>
      <c r="E93" s="277">
        <f t="shared" si="17"/>
        <v>7312.1654038000224</v>
      </c>
      <c r="F93" s="276">
        <f t="shared" si="18"/>
        <v>2008.0988462856492</v>
      </c>
    </row>
    <row r="94" spans="2:8">
      <c r="B94" s="275" t="s">
        <v>71</v>
      </c>
      <c r="C94" s="276">
        <v>835.16794364695568</v>
      </c>
      <c r="D94" s="277">
        <f t="shared" si="16"/>
        <v>3.2897993374709675</v>
      </c>
      <c r="E94" s="277">
        <f t="shared" si="17"/>
        <v>3941.179606290219</v>
      </c>
      <c r="F94" s="276">
        <f t="shared" si="18"/>
        <v>1082.3439820279484</v>
      </c>
    </row>
    <row r="95" spans="2:8">
      <c r="B95" s="278" t="s">
        <v>72</v>
      </c>
      <c r="C95" s="276">
        <v>856.43379406389181</v>
      </c>
      <c r="D95" s="277">
        <f t="shared" si="16"/>
        <v>3.3735673761565699</v>
      </c>
      <c r="E95" s="277">
        <f t="shared" si="17"/>
        <v>4041.5337166355707</v>
      </c>
      <c r="F95" s="276">
        <f t="shared" si="18"/>
        <v>1109.9036667555115</v>
      </c>
    </row>
    <row r="96" spans="2:8">
      <c r="B96" s="118" t="s">
        <v>64</v>
      </c>
      <c r="C96" s="277">
        <f>SUM(C89:C95)</f>
        <v>25386.592249999991</v>
      </c>
      <c r="D96" s="277">
        <f>SUM(D89:D95)</f>
        <v>100</v>
      </c>
      <c r="E96" s="276">
        <f>SUM(E89:E95)</f>
        <v>119800.00000000001</v>
      </c>
      <c r="F96" s="276">
        <f>SUM(F89:F95)</f>
        <v>32900</v>
      </c>
    </row>
  </sheetData>
  <mergeCells count="26">
    <mergeCell ref="L57:M57"/>
    <mergeCell ref="N57:O57"/>
    <mergeCell ref="P57:Q57"/>
    <mergeCell ref="E86:F86"/>
    <mergeCell ref="A40:A41"/>
    <mergeCell ref="B40:B41"/>
    <mergeCell ref="C40:C41"/>
    <mergeCell ref="D41:E41"/>
    <mergeCell ref="F41:G41"/>
    <mergeCell ref="J57:K57"/>
    <mergeCell ref="A39:K39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K27:K28"/>
  </mergeCells>
  <pageMargins left="0.75" right="0.75" top="1" bottom="1" header="0.5" footer="0.5"/>
  <pageSetup scale="86" orientation="landscape" r:id="rId1"/>
  <headerFooter alignWithMargins="0"/>
  <rowBreaks count="1" manualBreakCount="1">
    <brk id="38" max="10" man="1"/>
  </rowBreaks>
  <colBreaks count="1" manualBreakCount="1">
    <brk id="13" max="45" man="1"/>
  </col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I34"/>
  <sheetViews>
    <sheetView workbookViewId="0">
      <selection activeCell="J19" sqref="J19"/>
    </sheetView>
  </sheetViews>
  <sheetFormatPr defaultColWidth="9" defaultRowHeight="18"/>
  <cols>
    <col min="1" max="1" width="36" style="288" customWidth="1"/>
    <col min="2" max="2" width="17.44140625" style="288" customWidth="1"/>
    <col min="3" max="3" width="20.44140625" style="288" customWidth="1"/>
    <col min="4" max="4" width="19.44140625" style="289" customWidth="1"/>
    <col min="5" max="5" width="19.5546875" style="288" customWidth="1"/>
    <col min="6" max="6" width="18" style="289" customWidth="1"/>
    <col min="7" max="16384" width="9" style="288"/>
  </cols>
  <sheetData>
    <row r="1" spans="1:9" ht="54.75" customHeight="1">
      <c r="A1" s="512" t="s">
        <v>320</v>
      </c>
      <c r="B1" s="512"/>
      <c r="C1" s="512"/>
      <c r="D1" s="512"/>
      <c r="E1" s="512"/>
      <c r="F1" s="512"/>
      <c r="G1" s="287"/>
      <c r="H1" s="287"/>
      <c r="I1" s="287"/>
    </row>
    <row r="2" spans="1:9" ht="3" customHeight="1">
      <c r="A2" s="512"/>
      <c r="B2" s="512"/>
      <c r="C2" s="512"/>
      <c r="D2" s="512"/>
      <c r="E2" s="512"/>
      <c r="F2" s="512"/>
    </row>
    <row r="3" spans="1:9">
      <c r="E3" s="513" t="s">
        <v>276</v>
      </c>
      <c r="F3" s="513"/>
    </row>
    <row r="4" spans="1:9" ht="46.8">
      <c r="A4" s="290"/>
      <c r="B4" s="406" t="s">
        <v>316</v>
      </c>
      <c r="C4" s="406" t="s">
        <v>280</v>
      </c>
      <c r="D4" s="406" t="s">
        <v>279</v>
      </c>
      <c r="E4" s="406" t="s">
        <v>317</v>
      </c>
      <c r="F4" s="406" t="s">
        <v>318</v>
      </c>
    </row>
    <row r="5" spans="1:9">
      <c r="A5" s="290">
        <v>1</v>
      </c>
      <c r="B5" s="291">
        <v>2</v>
      </c>
      <c r="C5" s="291">
        <v>3</v>
      </c>
      <c r="D5" s="291">
        <v>4</v>
      </c>
      <c r="E5" s="291">
        <v>5</v>
      </c>
      <c r="F5" s="291">
        <v>6</v>
      </c>
    </row>
    <row r="6" spans="1:9">
      <c r="A6" s="292" t="s">
        <v>282</v>
      </c>
      <c r="B6" s="293">
        <f>'ShareofTaxesCal-_Act 17-18'!$D$51</f>
        <v>25456.2146832</v>
      </c>
      <c r="C6" s="293">
        <f>'ShareofTaxesCal_B.E 17-18'!$D$51</f>
        <v>33398.043899999997</v>
      </c>
      <c r="D6" s="293">
        <f>B6-C6</f>
        <v>-7941.8292167999971</v>
      </c>
      <c r="E6" s="293">
        <f>'ShareofTaxesCal-_19-20'!$D$51</f>
        <v>67633.149197999999</v>
      </c>
      <c r="F6" s="293">
        <f>D6+E6</f>
        <v>59691.319981200002</v>
      </c>
    </row>
    <row r="7" spans="1:9">
      <c r="A7" s="292" t="s">
        <v>283</v>
      </c>
      <c r="B7" s="293">
        <f>'ShareofTaxesCal-_Act 17-18'!$E$51</f>
        <v>59397.834260800009</v>
      </c>
      <c r="C7" s="293">
        <f>'ShareofTaxesCal_B.E 17-18'!$E$51</f>
        <v>77928.769100000005</v>
      </c>
      <c r="D7" s="293">
        <f>B7-C7</f>
        <v>-18530.934839199996</v>
      </c>
      <c r="E7" s="293">
        <f>'ShareofTaxesCal-_19-20'!$E$51</f>
        <v>157810.68146200001</v>
      </c>
      <c r="F7" s="293">
        <f t="shared" ref="F7:F17" si="0">D7+E7</f>
        <v>139279.74662280001</v>
      </c>
    </row>
    <row r="8" spans="1:9">
      <c r="A8" s="292" t="s">
        <v>3</v>
      </c>
      <c r="B8" s="293">
        <f>SUM(B6:B7)</f>
        <v>84854.048944000009</v>
      </c>
      <c r="C8" s="293">
        <f>SUM(C6:C7)</f>
        <v>111326.81299999999</v>
      </c>
      <c r="D8" s="293">
        <f>SUM(D6:D7)</f>
        <v>-26472.764055999993</v>
      </c>
      <c r="E8" s="293">
        <f>SUM(E6:E7)</f>
        <v>225443.83066000001</v>
      </c>
      <c r="F8" s="293">
        <f>SUM(F6:F7)</f>
        <v>198971.06660400002</v>
      </c>
    </row>
    <row r="9" spans="1:9">
      <c r="A9" s="214"/>
      <c r="B9" s="294"/>
      <c r="C9" s="294"/>
      <c r="D9" s="293"/>
      <c r="E9" s="294"/>
      <c r="F9" s="293"/>
    </row>
    <row r="10" spans="1:9">
      <c r="A10" s="292" t="s">
        <v>284</v>
      </c>
      <c r="B10" s="293">
        <f>'ShareofTaxesCal-_Act 17-18'!$D$66</f>
        <v>21213.512235999999</v>
      </c>
      <c r="C10" s="293">
        <f>'ShareofTaxesCal_B.E 17-18'!$D$66</f>
        <v>27831.703249999991</v>
      </c>
      <c r="D10" s="293">
        <f>SUM(D11:D17)</f>
        <v>-6618.1910139999982</v>
      </c>
      <c r="E10" s="293">
        <f>SUM(E11:E17)</f>
        <v>56360.95766499998</v>
      </c>
      <c r="F10" s="293">
        <f t="shared" si="0"/>
        <v>49742.766650999984</v>
      </c>
    </row>
    <row r="11" spans="1:9">
      <c r="A11" s="214" t="s">
        <v>285</v>
      </c>
      <c r="B11" s="294">
        <f>'ShareofTaxesCal-_Act 17-18'!D59</f>
        <v>13801.747080551799</v>
      </c>
      <c r="C11" s="294">
        <f>'ShareofTaxesCal_B.E 17-18'!$D$59</f>
        <v>18107.615787714651</v>
      </c>
      <c r="D11" s="294">
        <f>B11-C11</f>
        <v>-4305.8687071628519</v>
      </c>
      <c r="E11" s="294">
        <f>'ShareofTaxesCal-_19-20'!$D$59</f>
        <v>36669.066124275778</v>
      </c>
      <c r="F11" s="294">
        <f t="shared" si="0"/>
        <v>32363.197417112926</v>
      </c>
    </row>
    <row r="12" spans="1:9">
      <c r="A12" s="214" t="s">
        <v>286</v>
      </c>
      <c r="B12" s="294">
        <f>'ShareofTaxesCal-_Act 17-18'!D60</f>
        <v>943.43305378852335</v>
      </c>
      <c r="C12" s="294">
        <f>'ShareofTaxesCal_B.E 17-18'!$D$60</f>
        <v>1237.7652741880206</v>
      </c>
      <c r="D12" s="294">
        <f t="shared" ref="D12:D17" si="1">B12-C12</f>
        <v>-294.33222039949726</v>
      </c>
      <c r="E12" s="294">
        <f>'ShareofTaxesCal-_19-20'!$D$60</f>
        <v>2506.5528901009015</v>
      </c>
      <c r="F12" s="294">
        <f t="shared" si="0"/>
        <v>2212.2206697014044</v>
      </c>
    </row>
    <row r="13" spans="1:9">
      <c r="A13" s="214" t="s">
        <v>287</v>
      </c>
      <c r="B13" s="294">
        <f>'ShareofTaxesCal-_Act 17-18'!D61</f>
        <v>1865.8650293249052</v>
      </c>
      <c r="C13" s="294">
        <f>'ShareofTaxesCal_B.E 17-18'!$D$61</f>
        <v>2447.9775542588422</v>
      </c>
      <c r="D13" s="294">
        <f t="shared" si="1"/>
        <v>-582.11252493393704</v>
      </c>
      <c r="E13" s="294">
        <f>'ShareofTaxesCal-_19-20'!$D$61</f>
        <v>4957.3092261413385</v>
      </c>
      <c r="F13" s="294">
        <f t="shared" si="0"/>
        <v>4375.1967012074019</v>
      </c>
    </row>
    <row r="14" spans="1:9">
      <c r="A14" s="214" t="s">
        <v>288</v>
      </c>
      <c r="B14" s="294">
        <f>'ShareofTaxesCal-_Act 17-18'!D62</f>
        <v>1894.1357115874036</v>
      </c>
      <c r="C14" s="294">
        <f>'ShareofTaxesCal_B.E 17-18'!$D$62</f>
        <v>2485.0681232627644</v>
      </c>
      <c r="D14" s="294">
        <f t="shared" si="1"/>
        <v>-590.93241167536075</v>
      </c>
      <c r="E14" s="294">
        <f>'ShareofTaxesCal-_19-20'!$D$62</f>
        <v>5032.4199719919643</v>
      </c>
      <c r="F14" s="294">
        <f t="shared" si="0"/>
        <v>4441.4875603166038</v>
      </c>
    </row>
    <row r="15" spans="1:9">
      <c r="A15" s="214" t="s">
        <v>289</v>
      </c>
      <c r="B15" s="294">
        <f>'ShareofTaxesCal-_Act 17-18'!D63</f>
        <v>1294.7972476224343</v>
      </c>
      <c r="C15" s="294">
        <f>'ShareofTaxesCal_B.E 17-18'!$D$63</f>
        <v>1698.7480603796212</v>
      </c>
      <c r="D15" s="294">
        <f t="shared" si="1"/>
        <v>-403.9508127571869</v>
      </c>
      <c r="E15" s="294">
        <f>'ShareofTaxesCal-_19-20'!$D$63</f>
        <v>3440.0721599586868</v>
      </c>
      <c r="F15" s="294">
        <f t="shared" si="0"/>
        <v>3036.1213472014997</v>
      </c>
    </row>
    <row r="16" spans="1:9">
      <c r="A16" s="214" t="s">
        <v>290</v>
      </c>
      <c r="B16" s="294">
        <f>'ShareofTaxesCal-_Act 17-18'!D64</f>
        <v>697.88198499425039</v>
      </c>
      <c r="C16" s="294">
        <f>'ShareofTaxesCal_B.E 17-18'!$D$64</f>
        <v>915.6071891253855</v>
      </c>
      <c r="D16" s="294">
        <f t="shared" si="1"/>
        <v>-217.72520413113511</v>
      </c>
      <c r="E16" s="294">
        <f>'ShareofTaxesCal-_19-20'!$D$64</f>
        <v>1854.1624118554621</v>
      </c>
      <c r="F16" s="294">
        <f t="shared" si="0"/>
        <v>1636.437207724327</v>
      </c>
    </row>
    <row r="17" spans="1:6">
      <c r="A17" s="214" t="s">
        <v>291</v>
      </c>
      <c r="B17" s="294">
        <f>'ShareofTaxesCal-_Act 17-18'!D65</f>
        <v>715.65212813067785</v>
      </c>
      <c r="C17" s="294">
        <f>'ShareofTaxesCal_B.E 17-18'!$D$65</f>
        <v>938.92126107070749</v>
      </c>
      <c r="D17" s="294">
        <f t="shared" si="1"/>
        <v>-223.26913294002964</v>
      </c>
      <c r="E17" s="294">
        <f>'ShareofTaxesCal-_19-20'!$D$65</f>
        <v>1901.3748806758554</v>
      </c>
      <c r="F17" s="294">
        <f t="shared" si="0"/>
        <v>1678.1057477358258</v>
      </c>
    </row>
    <row r="18" spans="1:6">
      <c r="B18" s="295"/>
      <c r="C18" s="295"/>
      <c r="D18" s="296"/>
      <c r="E18" s="295"/>
      <c r="F18" s="296"/>
    </row>
    <row r="19" spans="1:6">
      <c r="B19" s="295"/>
      <c r="C19" s="295"/>
      <c r="D19" s="296"/>
      <c r="E19" s="295"/>
      <c r="F19" s="296"/>
    </row>
    <row r="20" spans="1:6">
      <c r="B20" s="295"/>
      <c r="C20" s="295"/>
      <c r="D20" s="296"/>
      <c r="E20" s="295"/>
      <c r="F20" s="296"/>
    </row>
    <row r="21" spans="1:6">
      <c r="B21" s="295"/>
      <c r="C21" s="295"/>
      <c r="D21" s="296"/>
      <c r="E21" s="295"/>
      <c r="F21" s="296"/>
    </row>
    <row r="22" spans="1:6">
      <c r="B22" s="295"/>
      <c r="C22" s="295"/>
      <c r="D22" s="296"/>
      <c r="E22" s="295"/>
      <c r="F22" s="296"/>
    </row>
    <row r="23" spans="1:6">
      <c r="B23" s="295"/>
      <c r="C23" s="295"/>
      <c r="D23" s="296"/>
      <c r="E23" s="295"/>
      <c r="F23" s="296"/>
    </row>
    <row r="24" spans="1:6">
      <c r="B24" s="295"/>
      <c r="C24" s="295"/>
      <c r="D24" s="296"/>
      <c r="E24" s="295"/>
      <c r="F24" s="296"/>
    </row>
    <row r="25" spans="1:6">
      <c r="B25" s="295"/>
      <c r="C25" s="295"/>
      <c r="D25" s="296"/>
      <c r="E25" s="295"/>
      <c r="F25" s="296"/>
    </row>
    <row r="26" spans="1:6">
      <c r="B26" s="295"/>
      <c r="C26" s="295"/>
      <c r="D26" s="296"/>
      <c r="E26" s="295"/>
      <c r="F26" s="296"/>
    </row>
    <row r="27" spans="1:6">
      <c r="B27" s="295"/>
      <c r="C27" s="295"/>
      <c r="D27" s="296"/>
      <c r="E27" s="295"/>
      <c r="F27" s="296"/>
    </row>
    <row r="28" spans="1:6">
      <c r="B28" s="295"/>
      <c r="C28" s="295"/>
      <c r="D28" s="296"/>
      <c r="E28" s="295"/>
      <c r="F28" s="296"/>
    </row>
    <row r="29" spans="1:6">
      <c r="B29" s="295"/>
      <c r="C29" s="295"/>
      <c r="D29" s="296"/>
      <c r="E29" s="295"/>
      <c r="F29" s="296"/>
    </row>
    <row r="30" spans="1:6">
      <c r="B30" s="295"/>
      <c r="C30" s="295"/>
      <c r="D30" s="296"/>
      <c r="E30" s="295"/>
      <c r="F30" s="296"/>
    </row>
    <row r="31" spans="1:6">
      <c r="B31" s="295"/>
      <c r="C31" s="295"/>
      <c r="D31" s="296"/>
      <c r="E31" s="295"/>
      <c r="F31" s="296"/>
    </row>
    <row r="32" spans="1:6">
      <c r="B32" s="295"/>
      <c r="C32" s="295"/>
      <c r="D32" s="296"/>
      <c r="E32" s="295"/>
      <c r="F32" s="296"/>
    </row>
    <row r="33" spans="2:6">
      <c r="B33" s="295"/>
      <c r="C33" s="295"/>
      <c r="D33" s="296"/>
      <c r="E33" s="295"/>
      <c r="F33" s="296"/>
    </row>
    <row r="34" spans="2:6">
      <c r="B34" s="295"/>
      <c r="C34" s="295"/>
      <c r="D34" s="296"/>
      <c r="E34" s="295"/>
      <c r="F34" s="296"/>
    </row>
  </sheetData>
  <mergeCells count="2">
    <mergeCell ref="A1:F2"/>
    <mergeCell ref="E3:F3"/>
  </mergeCells>
  <pageMargins left="0.52" right="0.16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94"/>
  <sheetViews>
    <sheetView topLeftCell="A37" zoomScale="154" zoomScaleNormal="154" zoomScaleSheetLayoutView="85" zoomScalePageLayoutView="154" workbookViewId="0">
      <selection activeCell="B55" sqref="B55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0.4414062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9.33203125" style="55" customWidth="1"/>
    <col min="10" max="11" width="10.4414062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D71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D72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 t="s">
        <v>207</v>
      </c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220" t="s">
        <v>156</v>
      </c>
      <c r="G28" s="221" t="s">
        <v>155</v>
      </c>
      <c r="H28" s="485"/>
      <c r="I28" s="508"/>
      <c r="J28" s="493"/>
      <c r="K28" s="493"/>
      <c r="M28" s="70"/>
    </row>
    <row r="29" spans="1:13" ht="22.5" customHeight="1">
      <c r="A29" s="220">
        <v>1</v>
      </c>
      <c r="B29" s="221">
        <v>2</v>
      </c>
      <c r="C29" s="220">
        <v>3</v>
      </c>
      <c r="D29" s="222">
        <v>4</v>
      </c>
      <c r="E29" s="222">
        <v>5</v>
      </c>
      <c r="F29" s="220">
        <v>6</v>
      </c>
      <c r="G29" s="221">
        <v>7</v>
      </c>
      <c r="H29" s="95">
        <v>8</v>
      </c>
      <c r="I29" s="95">
        <v>9</v>
      </c>
      <c r="J29" s="218">
        <v>10</v>
      </c>
      <c r="K29" s="218">
        <v>11</v>
      </c>
      <c r="M29" s="70"/>
    </row>
    <row r="30" spans="1:13">
      <c r="A30" s="66">
        <v>29</v>
      </c>
      <c r="B30" s="64" t="s">
        <v>59</v>
      </c>
      <c r="C30" s="225">
        <v>68896</v>
      </c>
      <c r="D30" s="225">
        <v>0</v>
      </c>
      <c r="E30" s="226">
        <f t="shared" ref="E30:E35" si="1">C30-D30</f>
        <v>68896</v>
      </c>
      <c r="F30" s="69">
        <v>25</v>
      </c>
      <c r="G30" s="56">
        <f t="shared" ref="G30:G35" si="2">E30*F30/100</f>
        <v>17224</v>
      </c>
      <c r="H30" s="56">
        <f t="shared" ref="H30:H35" si="3">E30-G30</f>
        <v>51672</v>
      </c>
      <c r="I30" s="56">
        <f t="shared" ref="I30:I35" si="4">H30*0.025</f>
        <v>1291.8000000000002</v>
      </c>
      <c r="J30" s="56">
        <f t="shared" ref="J30:J35" si="5">I30*0.8</f>
        <v>1033.4400000000003</v>
      </c>
      <c r="K30" s="56">
        <f t="shared" ref="K30:K35" si="6">I30-J30</f>
        <v>258.3599999999999</v>
      </c>
    </row>
    <row r="31" spans="1:13">
      <c r="A31" s="66">
        <v>30</v>
      </c>
      <c r="B31" s="64" t="s">
        <v>148</v>
      </c>
      <c r="C31" s="225">
        <v>76446</v>
      </c>
      <c r="D31" s="225">
        <v>0</v>
      </c>
      <c r="E31" s="226">
        <f t="shared" si="1"/>
        <v>76446</v>
      </c>
      <c r="F31" s="69">
        <v>25</v>
      </c>
      <c r="G31" s="56">
        <f t="shared" si="2"/>
        <v>19111.5</v>
      </c>
      <c r="H31" s="56">
        <f t="shared" si="3"/>
        <v>57334.5</v>
      </c>
      <c r="I31" s="56">
        <f t="shared" si="4"/>
        <v>1433.3625000000002</v>
      </c>
      <c r="J31" s="56">
        <f t="shared" si="5"/>
        <v>1146.6900000000003</v>
      </c>
      <c r="K31" s="56">
        <f t="shared" si="6"/>
        <v>286.6724999999999</v>
      </c>
    </row>
    <row r="32" spans="1:13">
      <c r="A32" s="66">
        <v>39</v>
      </c>
      <c r="B32" s="67" t="s">
        <v>147</v>
      </c>
      <c r="C32" s="225">
        <v>1350000</v>
      </c>
      <c r="D32" s="225">
        <v>0</v>
      </c>
      <c r="E32" s="226">
        <f t="shared" si="1"/>
        <v>1350000</v>
      </c>
      <c r="F32" s="69">
        <v>6.32</v>
      </c>
      <c r="G32" s="56">
        <f t="shared" si="2"/>
        <v>85320</v>
      </c>
      <c r="H32" s="56">
        <f t="shared" si="3"/>
        <v>1264680</v>
      </c>
      <c r="I32" s="56">
        <f t="shared" si="4"/>
        <v>31617</v>
      </c>
      <c r="J32" s="56">
        <f t="shared" si="5"/>
        <v>25293.600000000002</v>
      </c>
      <c r="K32" s="56">
        <f t="shared" si="6"/>
        <v>6323.3999999999978</v>
      </c>
    </row>
    <row r="33" spans="1:11">
      <c r="A33" s="66">
        <v>40</v>
      </c>
      <c r="B33" s="64" t="s">
        <v>146</v>
      </c>
      <c r="C33" s="225">
        <v>3000000</v>
      </c>
      <c r="D33" s="225">
        <v>0</v>
      </c>
      <c r="E33" s="226">
        <f t="shared" si="1"/>
        <v>3000000</v>
      </c>
      <c r="F33" s="69">
        <v>3.1</v>
      </c>
      <c r="G33" s="56">
        <f t="shared" si="2"/>
        <v>93000</v>
      </c>
      <c r="H33" s="56">
        <f t="shared" si="3"/>
        <v>2907000</v>
      </c>
      <c r="I33" s="56">
        <f t="shared" si="4"/>
        <v>72675</v>
      </c>
      <c r="J33" s="56">
        <f t="shared" si="5"/>
        <v>58140</v>
      </c>
      <c r="K33" s="56">
        <f t="shared" si="6"/>
        <v>14535</v>
      </c>
    </row>
    <row r="34" spans="1:11">
      <c r="A34" s="66">
        <v>41</v>
      </c>
      <c r="B34" s="64" t="s">
        <v>145</v>
      </c>
      <c r="C34" s="225">
        <v>210740</v>
      </c>
      <c r="D34" s="225">
        <v>0</v>
      </c>
      <c r="E34" s="226">
        <f t="shared" si="1"/>
        <v>210740</v>
      </c>
      <c r="F34" s="69">
        <v>17.010000000000002</v>
      </c>
      <c r="G34" s="56">
        <f t="shared" si="2"/>
        <v>35846.874000000003</v>
      </c>
      <c r="H34" s="56">
        <f t="shared" si="3"/>
        <v>174893.12599999999</v>
      </c>
      <c r="I34" s="56">
        <f t="shared" si="4"/>
        <v>4372.3281500000003</v>
      </c>
      <c r="J34" s="56">
        <f t="shared" si="5"/>
        <v>3497.8625200000006</v>
      </c>
      <c r="K34" s="56">
        <f t="shared" si="6"/>
        <v>874.46562999999969</v>
      </c>
    </row>
    <row r="35" spans="1:11">
      <c r="A35" s="66">
        <v>45</v>
      </c>
      <c r="B35" s="64" t="s">
        <v>144</v>
      </c>
      <c r="C35" s="225">
        <v>812641</v>
      </c>
      <c r="D35" s="225">
        <f>250000+480000+71940</f>
        <v>801940</v>
      </c>
      <c r="E35" s="226">
        <f t="shared" si="1"/>
        <v>10701</v>
      </c>
      <c r="F35" s="69">
        <v>25</v>
      </c>
      <c r="G35" s="56">
        <f t="shared" si="2"/>
        <v>2675.25</v>
      </c>
      <c r="H35" s="56">
        <f t="shared" si="3"/>
        <v>8025.75</v>
      </c>
      <c r="I35" s="56">
        <f t="shared" si="4"/>
        <v>200.64375000000001</v>
      </c>
      <c r="J35" s="56">
        <f t="shared" si="5"/>
        <v>160.51500000000001</v>
      </c>
      <c r="K35" s="56">
        <f t="shared" si="6"/>
        <v>40.128749999999997</v>
      </c>
    </row>
    <row r="36" spans="1:11">
      <c r="A36" s="65"/>
      <c r="B36" s="64" t="s">
        <v>3</v>
      </c>
      <c r="C36" s="227">
        <f>SUM(C30:C35)</f>
        <v>5518723</v>
      </c>
      <c r="D36" s="227">
        <f>SUM(D30:D35)</f>
        <v>801940</v>
      </c>
      <c r="E36" s="69">
        <f>SUM(E30:E35)</f>
        <v>4716783</v>
      </c>
      <c r="F36" s="69"/>
      <c r="G36" s="56">
        <f>SUM(G30:G35)</f>
        <v>253177.62400000001</v>
      </c>
      <c r="H36" s="56">
        <f>SUM(H30:H35)</f>
        <v>4463605.3760000002</v>
      </c>
      <c r="I36" s="56">
        <f>SUM(I30:I35)</f>
        <v>111590.13440000001</v>
      </c>
      <c r="J36" s="56">
        <f>SUM(J30:J35)</f>
        <v>89272.107520000005</v>
      </c>
      <c r="K36" s="56">
        <f>SUM(K30:K35)</f>
        <v>22318.026879999994</v>
      </c>
    </row>
    <row r="37" spans="1:11">
      <c r="A37" s="217"/>
      <c r="B37" s="3"/>
      <c r="C37" s="68"/>
      <c r="D37" s="68"/>
      <c r="E37" s="68"/>
      <c r="F37" s="169"/>
      <c r="G37" s="63"/>
      <c r="H37" s="63"/>
      <c r="I37" s="63"/>
      <c r="J37" s="63"/>
      <c r="K37" s="63"/>
    </row>
    <row r="38" spans="1:11">
      <c r="A38" s="483" t="s">
        <v>154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</row>
    <row r="39" spans="1:11">
      <c r="A39" s="486" t="s">
        <v>153</v>
      </c>
      <c r="B39" s="487" t="s">
        <v>152</v>
      </c>
      <c r="C39" s="488" t="s">
        <v>151</v>
      </c>
      <c r="D39" s="103" t="s">
        <v>150</v>
      </c>
      <c r="E39" s="106" t="s">
        <v>149</v>
      </c>
      <c r="F39" s="68"/>
      <c r="G39" s="104"/>
      <c r="H39" s="63"/>
      <c r="I39" s="63"/>
      <c r="J39" s="63"/>
      <c r="K39" s="63"/>
    </row>
    <row r="40" spans="1:11">
      <c r="A40" s="486"/>
      <c r="B40" s="487"/>
      <c r="C40" s="485"/>
      <c r="D40" s="489" t="s">
        <v>228</v>
      </c>
      <c r="E40" s="490"/>
      <c r="F40" s="491"/>
      <c r="G40" s="491"/>
      <c r="H40" s="63"/>
      <c r="I40" s="63"/>
      <c r="J40" s="63"/>
      <c r="K40" s="63"/>
    </row>
    <row r="41" spans="1:11">
      <c r="A41" s="220"/>
      <c r="B41" s="221"/>
      <c r="C41" s="95"/>
      <c r="D41" s="221"/>
      <c r="E41" s="221"/>
      <c r="F41" s="223"/>
      <c r="G41" s="223"/>
      <c r="H41" s="63"/>
      <c r="I41" s="63"/>
      <c r="J41" s="63"/>
      <c r="K41" s="63"/>
    </row>
    <row r="42" spans="1:11">
      <c r="A42" s="220">
        <v>1</v>
      </c>
      <c r="B42" s="221">
        <v>2</v>
      </c>
      <c r="C42" s="95">
        <v>3</v>
      </c>
      <c r="D42" s="95">
        <v>4</v>
      </c>
      <c r="E42" s="95">
        <v>5</v>
      </c>
      <c r="F42" s="217"/>
      <c r="G42" s="105"/>
      <c r="H42" s="63"/>
      <c r="I42" s="63"/>
      <c r="J42" s="63"/>
      <c r="K42" s="63"/>
    </row>
    <row r="43" spans="1:11">
      <c r="A43" s="66">
        <v>29</v>
      </c>
      <c r="B43" s="64" t="s">
        <v>59</v>
      </c>
      <c r="C43" s="56">
        <f t="shared" ref="C43:C48" si="7">J30</f>
        <v>1033.4400000000003</v>
      </c>
      <c r="D43" s="56">
        <f t="shared" ref="D43:D48" si="8">C43*0.3</f>
        <v>310.0320000000001</v>
      </c>
      <c r="E43" s="56">
        <f t="shared" ref="E43:E48" si="9">C43-D43</f>
        <v>723.40800000000013</v>
      </c>
      <c r="F43" s="63"/>
      <c r="G43" s="63"/>
      <c r="H43" s="63"/>
      <c r="I43" s="63"/>
      <c r="J43" s="63"/>
      <c r="K43" s="63"/>
    </row>
    <row r="44" spans="1:11">
      <c r="A44" s="66">
        <v>30</v>
      </c>
      <c r="B44" s="64" t="s">
        <v>148</v>
      </c>
      <c r="C44" s="56">
        <f t="shared" si="7"/>
        <v>1146.6900000000003</v>
      </c>
      <c r="D44" s="56">
        <f t="shared" si="8"/>
        <v>344.00700000000006</v>
      </c>
      <c r="E44" s="56">
        <f t="shared" si="9"/>
        <v>802.68300000000022</v>
      </c>
      <c r="F44" s="63"/>
      <c r="G44" s="63"/>
      <c r="H44" s="63"/>
      <c r="I44" s="63"/>
      <c r="J44" s="63"/>
      <c r="K44" s="63"/>
    </row>
    <row r="45" spans="1:11">
      <c r="A45" s="66">
        <v>39</v>
      </c>
      <c r="B45" s="67" t="s">
        <v>147</v>
      </c>
      <c r="C45" s="56">
        <f t="shared" si="7"/>
        <v>25293.600000000002</v>
      </c>
      <c r="D45" s="56">
        <f t="shared" si="8"/>
        <v>7588.08</v>
      </c>
      <c r="E45" s="56">
        <f t="shared" si="9"/>
        <v>17705.520000000004</v>
      </c>
      <c r="F45" s="63"/>
      <c r="G45" s="63"/>
      <c r="H45" s="63"/>
      <c r="I45" s="63"/>
      <c r="J45" s="63"/>
      <c r="K45" s="63"/>
    </row>
    <row r="46" spans="1:11">
      <c r="A46" s="66">
        <v>40</v>
      </c>
      <c r="B46" s="64" t="s">
        <v>146</v>
      </c>
      <c r="C46" s="56">
        <f t="shared" si="7"/>
        <v>58140</v>
      </c>
      <c r="D46" s="56">
        <f t="shared" si="8"/>
        <v>17442</v>
      </c>
      <c r="E46" s="56">
        <f t="shared" si="9"/>
        <v>40698</v>
      </c>
      <c r="F46" s="63"/>
      <c r="G46" s="63"/>
      <c r="H46" s="63"/>
      <c r="I46" s="63"/>
      <c r="J46" s="63"/>
      <c r="K46" s="63"/>
    </row>
    <row r="47" spans="1:11">
      <c r="A47" s="66">
        <v>41</v>
      </c>
      <c r="B47" s="64" t="s">
        <v>145</v>
      </c>
      <c r="C47" s="56">
        <f t="shared" si="7"/>
        <v>3497.8625200000006</v>
      </c>
      <c r="D47" s="56">
        <f t="shared" si="8"/>
        <v>1049.3587560000001</v>
      </c>
      <c r="E47" s="56">
        <f t="shared" si="9"/>
        <v>2448.5037640000005</v>
      </c>
      <c r="F47" s="63"/>
      <c r="G47" s="63"/>
      <c r="H47" s="63"/>
      <c r="I47" s="63"/>
      <c r="J47" s="63"/>
      <c r="K47" s="63"/>
    </row>
    <row r="48" spans="1:11">
      <c r="A48" s="66">
        <v>45</v>
      </c>
      <c r="B48" s="64" t="s">
        <v>144</v>
      </c>
      <c r="C48" s="56">
        <f t="shared" si="7"/>
        <v>160.51500000000001</v>
      </c>
      <c r="D48" s="56">
        <f t="shared" si="8"/>
        <v>48.154500000000006</v>
      </c>
      <c r="E48" s="56">
        <f t="shared" si="9"/>
        <v>112.3605</v>
      </c>
      <c r="F48" s="63"/>
      <c r="G48" s="63"/>
      <c r="H48" s="63"/>
      <c r="I48" s="63"/>
      <c r="J48" s="63"/>
      <c r="K48" s="63"/>
    </row>
    <row r="49" spans="1:17">
      <c r="A49" s="65"/>
      <c r="B49" s="64" t="s">
        <v>3</v>
      </c>
      <c r="C49" s="56">
        <f>SUM(C43:C48)</f>
        <v>89272.107520000005</v>
      </c>
      <c r="D49" s="56">
        <f>SUM(D43:D48)</f>
        <v>26781.632256000001</v>
      </c>
      <c r="E49" s="56">
        <f>SUM(E43:E48)</f>
        <v>62490.475264000008</v>
      </c>
      <c r="F49" s="174"/>
      <c r="G49" s="174"/>
      <c r="H49" s="174"/>
      <c r="I49" s="63"/>
      <c r="J49" s="63"/>
      <c r="K49" s="63"/>
    </row>
    <row r="50" spans="1:17">
      <c r="D50" s="62"/>
      <c r="E50" s="62"/>
      <c r="J50" s="62"/>
      <c r="K50" s="62"/>
    </row>
    <row r="51" spans="1:17">
      <c r="A51" s="61"/>
      <c r="B51" s="1"/>
    </row>
    <row r="54" spans="1:17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6.4">
      <c r="B55" s="97" t="s">
        <v>143</v>
      </c>
      <c r="C55" s="222" t="s">
        <v>186</v>
      </c>
      <c r="D55" s="113" t="s">
        <v>3</v>
      </c>
      <c r="E55" s="219"/>
      <c r="F55" s="219"/>
      <c r="G55" s="219"/>
      <c r="H55" s="219"/>
      <c r="I55" s="219"/>
      <c r="J55" s="483"/>
      <c r="K55" s="483"/>
      <c r="L55" s="483"/>
      <c r="M55" s="483"/>
      <c r="N55" s="483"/>
      <c r="O55" s="483"/>
      <c r="P55" s="484"/>
      <c r="Q55" s="484"/>
    </row>
    <row r="56" spans="1:17">
      <c r="B56" s="98"/>
      <c r="C56" s="94"/>
      <c r="D56" s="69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>
      <c r="B57" s="59" t="s">
        <v>66</v>
      </c>
      <c r="C57" s="57">
        <f>D71</f>
        <v>65.061112591859271</v>
      </c>
      <c r="D57" s="56">
        <f>$K$36/100*C57</f>
        <v>14520.356596678212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>
      <c r="B58" s="59" t="s">
        <v>67</v>
      </c>
      <c r="C58" s="57">
        <f t="shared" ref="C58:C63" si="10">D72</f>
        <v>4.4473213265811209</v>
      </c>
      <c r="D58" s="56">
        <f t="shared" ref="D58:D63" si="11">$K$36/100*C58</f>
        <v>992.55436910634683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>
      <c r="B59" s="60" t="s">
        <v>68</v>
      </c>
      <c r="C59" s="57">
        <f t="shared" si="10"/>
        <v>8.795644061988348</v>
      </c>
      <c r="D59" s="56">
        <f t="shared" si="11"/>
        <v>1963.0142060236828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69</v>
      </c>
      <c r="C60" s="57">
        <f t="shared" si="10"/>
        <v>8.928911396260899</v>
      </c>
      <c r="D60" s="56">
        <f t="shared" si="11"/>
        <v>1992.7568455088901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59" t="s">
        <v>70</v>
      </c>
      <c r="C61" s="57">
        <f t="shared" si="10"/>
        <v>6.1036439096828241</v>
      </c>
      <c r="D61" s="56">
        <f t="shared" si="11"/>
        <v>1362.2128884224953</v>
      </c>
      <c r="E61" s="63"/>
      <c r="F61" s="63"/>
      <c r="G61" s="63"/>
      <c r="H61" s="63"/>
      <c r="I61" s="174"/>
      <c r="J61" s="174"/>
      <c r="K61" s="63"/>
      <c r="L61" s="63"/>
      <c r="M61" s="63"/>
      <c r="N61" s="63"/>
      <c r="O61" s="63"/>
      <c r="P61" s="63"/>
      <c r="Q61" s="63"/>
    </row>
    <row r="62" spans="1:17">
      <c r="B62" s="59" t="s">
        <v>71</v>
      </c>
      <c r="C62" s="57">
        <f t="shared" si="10"/>
        <v>3.2897993374709675</v>
      </c>
      <c r="D62" s="56">
        <f t="shared" si="11"/>
        <v>734.21830043483226</v>
      </c>
      <c r="E62" s="63"/>
      <c r="F62" s="63"/>
      <c r="G62" s="63"/>
      <c r="H62" s="63"/>
      <c r="I62" s="174"/>
      <c r="J62" s="174"/>
      <c r="K62" s="63"/>
      <c r="L62" s="63"/>
      <c r="M62" s="63"/>
      <c r="N62" s="63"/>
      <c r="O62" s="63"/>
      <c r="P62" s="63"/>
      <c r="Q62" s="63"/>
    </row>
    <row r="63" spans="1:17">
      <c r="B63" s="59" t="s">
        <v>72</v>
      </c>
      <c r="C63" s="57">
        <f t="shared" si="10"/>
        <v>3.3735673761565699</v>
      </c>
      <c r="D63" s="56">
        <f t="shared" si="11"/>
        <v>752.91367382553381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8" t="s">
        <v>64</v>
      </c>
      <c r="C64" s="57">
        <v>100</v>
      </c>
      <c r="D64" s="56">
        <f>SUM(D57:D63)</f>
        <v>22318.026879999994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0">
      <c r="B65" s="55" t="s">
        <v>187</v>
      </c>
      <c r="I65" s="173"/>
      <c r="J65" s="174"/>
    </row>
    <row r="66" spans="2:10">
      <c r="I66" s="173"/>
      <c r="J66" s="174"/>
    </row>
    <row r="67" spans="2:10">
      <c r="I67" s="173"/>
      <c r="J67" s="174"/>
    </row>
    <row r="68" spans="2:10">
      <c r="B68" s="94" t="s">
        <v>188</v>
      </c>
      <c r="C68" s="69"/>
      <c r="D68" s="69"/>
      <c r="E68" s="107"/>
      <c r="F68" s="107"/>
      <c r="G68" s="107"/>
      <c r="I68" s="173"/>
      <c r="J68" s="174"/>
    </row>
    <row r="69" spans="2:10">
      <c r="B69" s="94" t="s">
        <v>143</v>
      </c>
      <c r="C69" s="69" t="s">
        <v>199</v>
      </c>
      <c r="D69" s="69"/>
      <c r="E69" s="68"/>
      <c r="F69" s="68"/>
      <c r="G69" s="68"/>
    </row>
    <row r="70" spans="2:10">
      <c r="B70" s="59"/>
      <c r="C70" s="57" t="s">
        <v>142</v>
      </c>
      <c r="D70" s="108" t="s">
        <v>191</v>
      </c>
      <c r="E70" s="68"/>
      <c r="F70" s="68"/>
      <c r="G70" s="68"/>
    </row>
    <row r="71" spans="2:10">
      <c r="B71" s="59" t="s">
        <v>66</v>
      </c>
      <c r="C71" s="57">
        <f>C87</f>
        <v>16516.799367008713</v>
      </c>
      <c r="D71" s="57">
        <f>C71/$C$78*100</f>
        <v>65.061112591859271</v>
      </c>
      <c r="E71" s="68" t="s">
        <v>227</v>
      </c>
      <c r="F71" s="68"/>
      <c r="G71" s="68"/>
    </row>
    <row r="72" spans="2:10">
      <c r="B72" s="60" t="s">
        <v>67</v>
      </c>
      <c r="C72" s="57">
        <f t="shared" ref="C72:C77" si="12">C88</f>
        <v>1129.0233312264397</v>
      </c>
      <c r="D72" s="57">
        <f t="shared" ref="D72:D77" si="13">C72/$C$78*100</f>
        <v>4.4473213265811209</v>
      </c>
      <c r="E72" s="68"/>
      <c r="F72" s="68"/>
      <c r="G72" s="68"/>
    </row>
    <row r="73" spans="2:10">
      <c r="B73" s="59" t="s">
        <v>68</v>
      </c>
      <c r="C73" s="57">
        <f t="shared" si="12"/>
        <v>2232.9142937783181</v>
      </c>
      <c r="D73" s="57">
        <f t="shared" si="13"/>
        <v>8.795644061988348</v>
      </c>
      <c r="E73" s="68"/>
      <c r="F73" s="68"/>
      <c r="G73" s="68"/>
    </row>
    <row r="74" spans="2:10">
      <c r="B74" s="59" t="s">
        <v>69</v>
      </c>
      <c r="C74" s="57">
        <f t="shared" si="12"/>
        <v>2266.7463285325352</v>
      </c>
      <c r="D74" s="57">
        <f t="shared" si="13"/>
        <v>8.928911396260899</v>
      </c>
      <c r="E74" s="68"/>
      <c r="F74" s="68"/>
      <c r="G74" s="68"/>
    </row>
    <row r="75" spans="2:10">
      <c r="B75" s="59" t="s">
        <v>70</v>
      </c>
      <c r="C75" s="57">
        <f t="shared" si="12"/>
        <v>1549.5071917431362</v>
      </c>
      <c r="D75" s="57">
        <f t="shared" si="13"/>
        <v>6.1036439096828241</v>
      </c>
      <c r="E75" s="68"/>
      <c r="F75" s="68"/>
      <c r="G75" s="68"/>
    </row>
    <row r="76" spans="2:10">
      <c r="B76" s="59" t="s">
        <v>71</v>
      </c>
      <c r="C76" s="57">
        <f t="shared" si="12"/>
        <v>835.16794364695568</v>
      </c>
      <c r="D76" s="57">
        <f t="shared" si="13"/>
        <v>3.2897993374709675</v>
      </c>
      <c r="E76" s="68"/>
      <c r="F76" s="68"/>
      <c r="G76" s="68"/>
    </row>
    <row r="77" spans="2:10">
      <c r="B77" s="58" t="s">
        <v>72</v>
      </c>
      <c r="C77" s="57">
        <f t="shared" si="12"/>
        <v>856.43379406389181</v>
      </c>
      <c r="D77" s="57">
        <f t="shared" si="13"/>
        <v>3.3735673761565699</v>
      </c>
      <c r="E77" s="68"/>
      <c r="F77" s="68"/>
      <c r="G77" s="68"/>
    </row>
    <row r="78" spans="2:10">
      <c r="B78" s="69" t="s">
        <v>64</v>
      </c>
      <c r="C78" s="57">
        <f>SUM(C71:C77)</f>
        <v>25386.592249999991</v>
      </c>
      <c r="D78" s="57">
        <f>SUM(D71:D77)</f>
        <v>100</v>
      </c>
      <c r="E78" s="68"/>
      <c r="F78" s="68"/>
      <c r="G78" s="68"/>
    </row>
    <row r="79" spans="2:10">
      <c r="B79" s="55" t="s">
        <v>192</v>
      </c>
      <c r="D79" s="55" t="s">
        <v>193</v>
      </c>
    </row>
    <row r="81" spans="2:6">
      <c r="B81" s="55" t="s">
        <v>165</v>
      </c>
    </row>
    <row r="83" spans="2:6" ht="26.4">
      <c r="B83" s="197" t="s">
        <v>240</v>
      </c>
      <c r="C83" s="55">
        <v>76600</v>
      </c>
    </row>
    <row r="84" spans="2:6">
      <c r="B84" s="197" t="s">
        <v>220</v>
      </c>
      <c r="C84" s="55">
        <v>22100</v>
      </c>
      <c r="E84" s="485" t="s">
        <v>207</v>
      </c>
      <c r="F84" s="485"/>
    </row>
    <row r="85" spans="2:6" ht="26.4">
      <c r="B85" s="94" t="s">
        <v>143</v>
      </c>
      <c r="C85" s="69" t="s">
        <v>199</v>
      </c>
      <c r="D85" s="69"/>
      <c r="E85" s="69" t="s">
        <v>219</v>
      </c>
      <c r="F85" s="172" t="s">
        <v>221</v>
      </c>
    </row>
    <row r="86" spans="2:6">
      <c r="B86" s="59"/>
      <c r="C86" s="57" t="s">
        <v>142</v>
      </c>
      <c r="D86" s="108" t="s">
        <v>191</v>
      </c>
      <c r="E86" s="69"/>
      <c r="F86" s="69"/>
    </row>
    <row r="87" spans="2:6">
      <c r="B87" s="122" t="s">
        <v>66</v>
      </c>
      <c r="C87" s="171">
        <v>16516.799367008713</v>
      </c>
      <c r="D87" s="57">
        <f>C87/$C$78*100</f>
        <v>65.061112591859271</v>
      </c>
      <c r="E87" s="57">
        <f>D87/$D$94*$C$83</f>
        <v>49836.812245364199</v>
      </c>
      <c r="F87" s="56">
        <f>$C$84*D87*0.01</f>
        <v>14378.505882800899</v>
      </c>
    </row>
    <row r="88" spans="2:6">
      <c r="B88" s="124" t="s">
        <v>67</v>
      </c>
      <c r="C88" s="171">
        <v>1129.0233312264397</v>
      </c>
      <c r="D88" s="57">
        <f t="shared" ref="D88:D93" si="14">C88/$C$78*100</f>
        <v>4.4473213265811209</v>
      </c>
      <c r="E88" s="57">
        <f t="shared" ref="E88:E93" si="15">D88/$D$94*$C$83</f>
        <v>3406.6481361611386</v>
      </c>
      <c r="F88" s="56">
        <f t="shared" ref="F88:F93" si="16">$C$84*D88*0.01</f>
        <v>982.85801317442781</v>
      </c>
    </row>
    <row r="89" spans="2:6">
      <c r="B89" s="122" t="s">
        <v>68</v>
      </c>
      <c r="C89" s="171">
        <v>2232.9142937783181</v>
      </c>
      <c r="D89" s="57">
        <f t="shared" si="14"/>
        <v>8.795644061988348</v>
      </c>
      <c r="E89" s="57">
        <f t="shared" si="15"/>
        <v>6737.4633514830739</v>
      </c>
      <c r="F89" s="56">
        <f t="shared" si="16"/>
        <v>1943.8373376994248</v>
      </c>
    </row>
    <row r="90" spans="2:6">
      <c r="B90" s="122" t="s">
        <v>69</v>
      </c>
      <c r="C90" s="171">
        <v>2266.7463285325352</v>
      </c>
      <c r="D90" s="57">
        <f t="shared" si="14"/>
        <v>8.928911396260899</v>
      </c>
      <c r="E90" s="57">
        <f t="shared" si="15"/>
        <v>6839.5461295358491</v>
      </c>
      <c r="F90" s="56">
        <f t="shared" si="16"/>
        <v>1973.2894185736586</v>
      </c>
    </row>
    <row r="91" spans="2:6">
      <c r="B91" s="122" t="s">
        <v>70</v>
      </c>
      <c r="C91" s="171">
        <v>1549.5071917431362</v>
      </c>
      <c r="D91" s="57">
        <f t="shared" si="14"/>
        <v>6.1036439096828241</v>
      </c>
      <c r="E91" s="57">
        <f t="shared" si="15"/>
        <v>4675.3912348170434</v>
      </c>
      <c r="F91" s="56">
        <f t="shared" si="16"/>
        <v>1348.9053040399042</v>
      </c>
    </row>
    <row r="92" spans="2:6">
      <c r="B92" s="122" t="s">
        <v>71</v>
      </c>
      <c r="C92" s="171">
        <v>835.16794364695568</v>
      </c>
      <c r="D92" s="57">
        <f t="shared" si="14"/>
        <v>3.2897993374709675</v>
      </c>
      <c r="E92" s="57">
        <f t="shared" si="15"/>
        <v>2519.986292502761</v>
      </c>
      <c r="F92" s="56">
        <f t="shared" si="16"/>
        <v>727.0456535810838</v>
      </c>
    </row>
    <row r="93" spans="2:6">
      <c r="B93" s="123" t="s">
        <v>72</v>
      </c>
      <c r="C93" s="171">
        <v>856.43379406389181</v>
      </c>
      <c r="D93" s="57">
        <f t="shared" si="14"/>
        <v>3.3735673761565699</v>
      </c>
      <c r="E93" s="57">
        <f t="shared" si="15"/>
        <v>2584.1526101359327</v>
      </c>
      <c r="F93" s="56">
        <f t="shared" si="16"/>
        <v>745.55839013060188</v>
      </c>
    </row>
    <row r="94" spans="2:6">
      <c r="B94" s="69" t="s">
        <v>64</v>
      </c>
      <c r="C94" s="57">
        <f>SUM(C87:C93)</f>
        <v>25386.592249999991</v>
      </c>
      <c r="D94" s="57">
        <f>SUM(D87:D93)</f>
        <v>100</v>
      </c>
      <c r="E94" s="56">
        <f>SUM(E87:E93)</f>
        <v>76599.999999999985</v>
      </c>
      <c r="F94" s="56">
        <f>SUM(F87:F93)</f>
        <v>22100</v>
      </c>
    </row>
  </sheetData>
  <mergeCells count="26">
    <mergeCell ref="K27:K28"/>
    <mergeCell ref="A38:K38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L55:M55"/>
    <mergeCell ref="N55:O55"/>
    <mergeCell ref="P55:Q55"/>
    <mergeCell ref="E84:F84"/>
    <mergeCell ref="A39:A40"/>
    <mergeCell ref="B39:B40"/>
    <mergeCell ref="C39:C40"/>
    <mergeCell ref="D40:E40"/>
    <mergeCell ref="F40:G40"/>
    <mergeCell ref="J55:K55"/>
  </mergeCells>
  <pageMargins left="0.75" right="0.75" top="1" bottom="1" header="0.5" footer="0.5"/>
  <pageSetup scale="86" orientation="landscape" r:id="rId1"/>
  <headerFooter alignWithMargins="0"/>
  <rowBreaks count="1" manualBreakCount="1">
    <brk id="37" max="10" man="1"/>
  </rowBreaks>
  <colBreaks count="1" manualBreakCount="1">
    <brk id="13" max="4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Q154"/>
  <sheetViews>
    <sheetView view="pageBreakPreview" topLeftCell="A7" zoomScale="120" zoomScaleSheetLayoutView="120" workbookViewId="0">
      <selection activeCell="M21" sqref="M21:P21"/>
    </sheetView>
  </sheetViews>
  <sheetFormatPr defaultColWidth="9.33203125" defaultRowHeight="13.2"/>
  <cols>
    <col min="1" max="1" width="4.6640625" style="12" customWidth="1"/>
    <col min="2" max="2" width="6.6640625" style="13" customWidth="1"/>
    <col min="3" max="3" width="5.6640625" style="23" customWidth="1"/>
    <col min="4" max="4" width="6.33203125" style="23" customWidth="1"/>
    <col min="5" max="5" width="5.6640625" style="24" customWidth="1"/>
    <col min="6" max="7" width="5.6640625" style="17" customWidth="1"/>
    <col min="8" max="8" width="8.6640625" style="25" customWidth="1"/>
    <col min="9" max="13" width="8.6640625" style="17" customWidth="1"/>
    <col min="14" max="17" width="8.6640625" style="18" customWidth="1"/>
    <col min="18" max="16384" width="9.33203125" style="18"/>
  </cols>
  <sheetData>
    <row r="1" spans="1:17" ht="15.6">
      <c r="A1" s="519" t="s">
        <v>98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17" ht="15.6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</row>
    <row r="3" spans="1:17" ht="15.6">
      <c r="A3" s="520" t="s">
        <v>100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5.6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</row>
    <row r="5" spans="1:17">
      <c r="Q5" s="2" t="s">
        <v>101</v>
      </c>
    </row>
    <row r="6" spans="1:17" ht="16.2" customHeight="1">
      <c r="A6" s="528" t="s">
        <v>141</v>
      </c>
      <c r="B6" s="524" t="s">
        <v>94</v>
      </c>
      <c r="C6" s="524"/>
      <c r="D6" s="524"/>
      <c r="E6" s="524"/>
      <c r="F6" s="524"/>
      <c r="G6" s="524"/>
      <c r="H6" s="525" t="s">
        <v>95</v>
      </c>
      <c r="I6" s="526"/>
      <c r="J6" s="526"/>
      <c r="K6" s="526"/>
      <c r="L6" s="527"/>
      <c r="M6" s="525" t="s">
        <v>93</v>
      </c>
      <c r="N6" s="526"/>
      <c r="O6" s="526"/>
      <c r="P6" s="526"/>
      <c r="Q6" s="527"/>
    </row>
    <row r="7" spans="1:17" ht="13.8">
      <c r="A7" s="529"/>
      <c r="B7" s="410" t="s">
        <v>12</v>
      </c>
      <c r="C7" s="47" t="s">
        <v>75</v>
      </c>
      <c r="D7" s="47" t="s">
        <v>12</v>
      </c>
      <c r="E7" s="48" t="s">
        <v>77</v>
      </c>
      <c r="F7" s="47" t="s">
        <v>76</v>
      </c>
      <c r="G7" s="47" t="s">
        <v>78</v>
      </c>
      <c r="H7" s="49" t="s">
        <v>89</v>
      </c>
      <c r="I7" s="49" t="s">
        <v>90</v>
      </c>
      <c r="J7" s="49" t="s">
        <v>91</v>
      </c>
      <c r="K7" s="49" t="s">
        <v>92</v>
      </c>
      <c r="L7" s="49" t="s">
        <v>64</v>
      </c>
      <c r="M7" s="49" t="s">
        <v>89</v>
      </c>
      <c r="N7" s="49" t="s">
        <v>90</v>
      </c>
      <c r="O7" s="49" t="s">
        <v>91</v>
      </c>
      <c r="P7" s="49" t="s">
        <v>92</v>
      </c>
      <c r="Q7" s="49" t="s">
        <v>64</v>
      </c>
    </row>
    <row r="8" spans="1:17" ht="41.4" hidden="1">
      <c r="A8" s="4"/>
      <c r="B8" s="4"/>
      <c r="C8" s="35" t="s">
        <v>96</v>
      </c>
      <c r="D8" s="35"/>
      <c r="E8" s="35"/>
      <c r="F8" s="35"/>
      <c r="G8" s="35"/>
      <c r="H8" s="145">
        <v>33.999427939621192</v>
      </c>
      <c r="I8" s="145">
        <v>27.998856840688397</v>
      </c>
      <c r="J8" s="145">
        <v>9.0022872800692237</v>
      </c>
      <c r="K8" s="145">
        <v>28.999427939621192</v>
      </c>
      <c r="L8" s="147">
        <f>SUM(H8:K8)</f>
        <v>100</v>
      </c>
      <c r="M8" s="145">
        <v>33.665795454545453</v>
      </c>
      <c r="N8" s="145">
        <v>28.767159090909093</v>
      </c>
      <c r="O8" s="145">
        <v>10.032159090909092</v>
      </c>
      <c r="P8" s="145">
        <v>27.534886363636364</v>
      </c>
      <c r="Q8" s="147">
        <f>SUM(M8:P8)</f>
        <v>100</v>
      </c>
    </row>
    <row r="9" spans="1:17" ht="13.8">
      <c r="A9" s="125">
        <v>1</v>
      </c>
      <c r="B9" s="36">
        <v>2202</v>
      </c>
      <c r="C9" s="26" t="s">
        <v>73</v>
      </c>
      <c r="D9" s="26" t="s">
        <v>79</v>
      </c>
      <c r="E9" s="26" t="s">
        <v>82</v>
      </c>
      <c r="F9" s="26" t="s">
        <v>84</v>
      </c>
      <c r="G9" s="26" t="s">
        <v>115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20"/>
      <c r="O9" s="126">
        <v>0</v>
      </c>
      <c r="P9" s="126">
        <v>0</v>
      </c>
      <c r="Q9" s="22">
        <f>SUM(M9:P9)</f>
        <v>0</v>
      </c>
    </row>
    <row r="10" spans="1:17" ht="13.8">
      <c r="A10" s="125">
        <v>2</v>
      </c>
      <c r="B10" s="36">
        <v>2202</v>
      </c>
      <c r="C10" s="26" t="s">
        <v>73</v>
      </c>
      <c r="D10" s="26" t="s">
        <v>79</v>
      </c>
      <c r="E10" s="26" t="s">
        <v>87</v>
      </c>
      <c r="F10" s="26" t="s">
        <v>83</v>
      </c>
      <c r="G10" s="26" t="s">
        <v>115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426">
        <v>271634</v>
      </c>
      <c r="N10" s="126">
        <v>0</v>
      </c>
      <c r="O10" s="126">
        <v>0</v>
      </c>
      <c r="P10" s="126">
        <v>0</v>
      </c>
      <c r="Q10" s="22">
        <f t="shared" ref="Q10:Q17" si="0">SUM(M10:P10)</f>
        <v>271634</v>
      </c>
    </row>
    <row r="11" spans="1:17" ht="13.8">
      <c r="A11" s="125">
        <v>3</v>
      </c>
      <c r="B11" s="36">
        <v>2202</v>
      </c>
      <c r="C11" s="26" t="s">
        <v>73</v>
      </c>
      <c r="D11" s="26" t="s">
        <v>79</v>
      </c>
      <c r="E11" s="26" t="s">
        <v>87</v>
      </c>
      <c r="F11" s="26" t="s">
        <v>84</v>
      </c>
      <c r="G11" s="26" t="s">
        <v>115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33">
        <v>199251</v>
      </c>
      <c r="O11" s="126">
        <v>0</v>
      </c>
      <c r="P11" s="126">
        <v>0</v>
      </c>
      <c r="Q11" s="22">
        <f t="shared" si="0"/>
        <v>199251</v>
      </c>
    </row>
    <row r="12" spans="1:17" ht="13.8">
      <c r="A12" s="125">
        <v>4</v>
      </c>
      <c r="B12" s="36">
        <v>2202</v>
      </c>
      <c r="C12" s="26" t="s">
        <v>73</v>
      </c>
      <c r="D12" s="26" t="s">
        <v>79</v>
      </c>
      <c r="E12" s="26" t="s">
        <v>87</v>
      </c>
      <c r="F12" s="26" t="s">
        <v>85</v>
      </c>
      <c r="G12" s="26" t="s">
        <v>115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34">
        <v>66707</v>
      </c>
      <c r="P12" s="126">
        <v>0</v>
      </c>
      <c r="Q12" s="22">
        <f t="shared" si="0"/>
        <v>66707</v>
      </c>
    </row>
    <row r="13" spans="1:17" ht="13.8">
      <c r="A13" s="125">
        <v>5</v>
      </c>
      <c r="B13" s="36">
        <v>2202</v>
      </c>
      <c r="C13" s="26" t="s">
        <v>73</v>
      </c>
      <c r="D13" s="26" t="s">
        <v>79</v>
      </c>
      <c r="E13" s="26" t="s">
        <v>87</v>
      </c>
      <c r="F13" s="26" t="s">
        <v>86</v>
      </c>
      <c r="G13" s="26" t="s">
        <v>115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35">
        <v>191775</v>
      </c>
      <c r="Q13" s="22">
        <f t="shared" si="0"/>
        <v>191775</v>
      </c>
    </row>
    <row r="14" spans="1:17" ht="13.8">
      <c r="A14" s="125">
        <v>6</v>
      </c>
      <c r="B14" s="36">
        <v>2202</v>
      </c>
      <c r="C14" s="26" t="s">
        <v>73</v>
      </c>
      <c r="D14" s="26" t="s">
        <v>79</v>
      </c>
      <c r="E14" s="26">
        <v>63</v>
      </c>
      <c r="F14" s="26" t="s">
        <v>83</v>
      </c>
      <c r="G14" s="26" t="s">
        <v>115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36">
        <v>334576</v>
      </c>
      <c r="N14" s="126">
        <v>0</v>
      </c>
      <c r="O14" s="126">
        <v>0</v>
      </c>
      <c r="P14" s="126">
        <v>0</v>
      </c>
      <c r="Q14" s="22">
        <f t="shared" si="0"/>
        <v>334576</v>
      </c>
    </row>
    <row r="15" spans="1:17" ht="13.8">
      <c r="A15" s="125">
        <v>7</v>
      </c>
      <c r="B15" s="36">
        <v>2202</v>
      </c>
      <c r="C15" s="26" t="s">
        <v>73</v>
      </c>
      <c r="D15" s="26" t="s">
        <v>79</v>
      </c>
      <c r="E15" s="26">
        <v>63</v>
      </c>
      <c r="F15" s="26" t="s">
        <v>84</v>
      </c>
      <c r="G15" s="26" t="s">
        <v>115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37">
        <v>112087</v>
      </c>
      <c r="O15" s="126">
        <v>0</v>
      </c>
      <c r="P15" s="126">
        <v>0</v>
      </c>
      <c r="Q15" s="22">
        <f t="shared" si="0"/>
        <v>112087</v>
      </c>
    </row>
    <row r="16" spans="1:17" ht="13.8">
      <c r="A16" s="125">
        <v>8</v>
      </c>
      <c r="B16" s="36">
        <v>2202</v>
      </c>
      <c r="C16" s="26" t="s">
        <v>73</v>
      </c>
      <c r="D16" s="26" t="s">
        <v>79</v>
      </c>
      <c r="E16" s="26">
        <v>63</v>
      </c>
      <c r="F16" s="26" t="s">
        <v>85</v>
      </c>
      <c r="G16" s="26" t="s">
        <v>115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/>
      <c r="O16" s="138">
        <v>53903</v>
      </c>
      <c r="P16" s="126">
        <v>0</v>
      </c>
      <c r="Q16" s="22">
        <f t="shared" si="0"/>
        <v>53903</v>
      </c>
    </row>
    <row r="17" spans="1:17" ht="13.8">
      <c r="A17" s="125">
        <v>9</v>
      </c>
      <c r="B17" s="36">
        <v>2202</v>
      </c>
      <c r="C17" s="26" t="s">
        <v>73</v>
      </c>
      <c r="D17" s="26" t="s">
        <v>79</v>
      </c>
      <c r="E17" s="26">
        <v>63</v>
      </c>
      <c r="F17" s="26" t="s">
        <v>86</v>
      </c>
      <c r="G17" s="26" t="s">
        <v>115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427">
        <v>192150</v>
      </c>
      <c r="Q17" s="22">
        <f t="shared" si="0"/>
        <v>192150</v>
      </c>
    </row>
    <row r="18" spans="1:17" ht="13.8">
      <c r="A18" s="125">
        <v>10</v>
      </c>
      <c r="B18" s="37">
        <v>2515</v>
      </c>
      <c r="C18" s="26" t="s">
        <v>74</v>
      </c>
      <c r="D18" s="26" t="s">
        <v>81</v>
      </c>
      <c r="E18" s="26" t="s">
        <v>82</v>
      </c>
      <c r="F18" s="26" t="s">
        <v>74</v>
      </c>
      <c r="G18" s="26" t="s">
        <v>115</v>
      </c>
      <c r="H18" s="175">
        <f>L18*35%</f>
        <v>43069.25</v>
      </c>
      <c r="I18" s="175">
        <f>L18*29%</f>
        <v>35685.949999999997</v>
      </c>
      <c r="J18" s="175">
        <f>L18*8%</f>
        <v>9844.4</v>
      </c>
      <c r="K18" s="175">
        <f>L18*28%</f>
        <v>34455.4</v>
      </c>
      <c r="L18" s="146">
        <v>123055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</row>
    <row r="19" spans="1:17" ht="13.8">
      <c r="A19" s="125">
        <v>11</v>
      </c>
      <c r="B19" s="37">
        <v>2515</v>
      </c>
      <c r="C19" s="26" t="s">
        <v>74</v>
      </c>
      <c r="D19" s="26" t="s">
        <v>81</v>
      </c>
      <c r="E19" s="26" t="s">
        <v>82</v>
      </c>
      <c r="F19" s="26" t="s">
        <v>74</v>
      </c>
      <c r="G19" s="26" t="s">
        <v>88</v>
      </c>
      <c r="H19" s="175">
        <f>L19*35%</f>
        <v>420</v>
      </c>
      <c r="I19" s="175">
        <f>L19*29%</f>
        <v>348</v>
      </c>
      <c r="J19" s="175">
        <f>L19*8%</f>
        <v>96</v>
      </c>
      <c r="K19" s="175">
        <f>L19*28%</f>
        <v>336.00000000000006</v>
      </c>
      <c r="L19" s="146">
        <v>1200</v>
      </c>
      <c r="M19" s="126"/>
      <c r="N19" s="126"/>
      <c r="O19" s="126"/>
      <c r="P19" s="126"/>
      <c r="Q19" s="126"/>
    </row>
    <row r="20" spans="1:17" ht="13.8">
      <c r="A20" s="125">
        <v>12</v>
      </c>
      <c r="B20" s="37">
        <v>2515</v>
      </c>
      <c r="C20" s="26" t="s">
        <v>74</v>
      </c>
      <c r="D20" s="26" t="s">
        <v>81</v>
      </c>
      <c r="E20" s="26" t="s">
        <v>82</v>
      </c>
      <c r="F20" s="26" t="s">
        <v>74</v>
      </c>
      <c r="G20" s="26" t="s">
        <v>102</v>
      </c>
      <c r="H20" s="175">
        <f>L20*35%</f>
        <v>521.5</v>
      </c>
      <c r="I20" s="175">
        <f>L20*29%</f>
        <v>432.09999999999997</v>
      </c>
      <c r="J20" s="175">
        <f>L20*8%</f>
        <v>119.2</v>
      </c>
      <c r="K20" s="175">
        <f>L20*28%</f>
        <v>417.20000000000005</v>
      </c>
      <c r="L20" s="152">
        <v>1490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</row>
    <row r="21" spans="1:17" ht="13.8">
      <c r="A21" s="125">
        <v>13</v>
      </c>
      <c r="B21" s="37">
        <v>2515</v>
      </c>
      <c r="C21" s="26" t="s">
        <v>74</v>
      </c>
      <c r="D21" s="26" t="s">
        <v>79</v>
      </c>
      <c r="E21" s="26" t="s">
        <v>82</v>
      </c>
      <c r="F21" s="26" t="s">
        <v>74</v>
      </c>
      <c r="G21" s="26" t="s">
        <v>115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7">
        <f>ROUND($Q21*34%,0)</f>
        <v>91516</v>
      </c>
      <c r="N21" s="127">
        <f>ROUND($Q21*29%,0)</f>
        <v>78058</v>
      </c>
      <c r="O21" s="127">
        <f>ROUNDUP($Q21*9%,0)</f>
        <v>24225</v>
      </c>
      <c r="P21" s="127">
        <f>ROUNDUP($Q21*28%,0)</f>
        <v>75366</v>
      </c>
      <c r="Q21" s="428">
        <v>269164</v>
      </c>
    </row>
    <row r="22" spans="1:17" ht="13.8">
      <c r="A22" s="125">
        <v>14</v>
      </c>
      <c r="B22" s="37">
        <v>2515</v>
      </c>
      <c r="C22" s="26" t="s">
        <v>74</v>
      </c>
      <c r="D22" s="26" t="s">
        <v>79</v>
      </c>
      <c r="E22" s="26" t="s">
        <v>82</v>
      </c>
      <c r="F22" s="26" t="s">
        <v>74</v>
      </c>
      <c r="G22" s="26" t="s">
        <v>102</v>
      </c>
      <c r="H22" s="126"/>
      <c r="I22" s="126"/>
      <c r="J22" s="126"/>
      <c r="K22" s="126"/>
      <c r="L22" s="126"/>
      <c r="M22" s="127">
        <f t="shared" ref="M22:M23" si="1">ROUND($Q22*34%,0)</f>
        <v>2208</v>
      </c>
      <c r="N22" s="127">
        <f t="shared" ref="N22:N23" si="2">ROUND($Q22*29%,0)</f>
        <v>1884</v>
      </c>
      <c r="O22" s="127">
        <f t="shared" ref="O22:O23" si="3">ROUNDUP($Q22*9%,0)</f>
        <v>585</v>
      </c>
      <c r="P22" s="127">
        <f t="shared" ref="P22:P23" si="4">ROUNDUP($Q22*28%,0)</f>
        <v>1819</v>
      </c>
      <c r="Q22" s="428">
        <v>6495</v>
      </c>
    </row>
    <row r="23" spans="1:17" ht="13.8">
      <c r="A23" s="125">
        <v>15</v>
      </c>
      <c r="B23" s="37">
        <v>2505</v>
      </c>
      <c r="C23" s="26" t="s">
        <v>214</v>
      </c>
      <c r="D23" s="26" t="s">
        <v>134</v>
      </c>
      <c r="E23" s="26" t="s">
        <v>135</v>
      </c>
      <c r="F23" s="26" t="s">
        <v>74</v>
      </c>
      <c r="G23" s="26" t="s">
        <v>136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7">
        <f t="shared" si="1"/>
        <v>170000</v>
      </c>
      <c r="N23" s="127">
        <f t="shared" si="2"/>
        <v>145000</v>
      </c>
      <c r="O23" s="127">
        <f t="shared" si="3"/>
        <v>45000</v>
      </c>
      <c r="P23" s="127">
        <f t="shared" si="4"/>
        <v>140000</v>
      </c>
      <c r="Q23" s="429">
        <v>500000</v>
      </c>
    </row>
    <row r="24" spans="1:17" ht="13.8">
      <c r="A24" s="50"/>
      <c r="B24" s="521" t="s">
        <v>137</v>
      </c>
      <c r="C24" s="522"/>
      <c r="D24" s="522"/>
      <c r="E24" s="522"/>
      <c r="F24" s="522"/>
      <c r="G24" s="523"/>
      <c r="H24" s="176">
        <f t="shared" ref="H24:P24" si="5">SUM(H9:H23)</f>
        <v>44010.75</v>
      </c>
      <c r="I24" s="176">
        <f t="shared" si="5"/>
        <v>36466.049999999996</v>
      </c>
      <c r="J24" s="176">
        <f t="shared" si="5"/>
        <v>10059.6</v>
      </c>
      <c r="K24" s="176">
        <f t="shared" si="5"/>
        <v>35208.6</v>
      </c>
      <c r="L24" s="51">
        <f t="shared" si="5"/>
        <v>125745</v>
      </c>
      <c r="M24" s="51">
        <f t="shared" si="5"/>
        <v>869934</v>
      </c>
      <c r="N24" s="51">
        <f t="shared" si="5"/>
        <v>536280</v>
      </c>
      <c r="O24" s="51">
        <f t="shared" si="5"/>
        <v>190420</v>
      </c>
      <c r="P24" s="51">
        <f t="shared" si="5"/>
        <v>601110</v>
      </c>
      <c r="Q24" s="51">
        <f>SUM(Q9:Q23)</f>
        <v>2197742</v>
      </c>
    </row>
    <row r="25" spans="1:17" ht="13.8">
      <c r="A25" s="42"/>
      <c r="B25" s="43"/>
      <c r="C25" s="44"/>
      <c r="D25" s="44"/>
      <c r="E25" s="44"/>
      <c r="F25" s="44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>
      <c r="A26" s="5" t="s">
        <v>138</v>
      </c>
      <c r="B26" s="6"/>
      <c r="C26" s="518" t="s">
        <v>139</v>
      </c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</row>
    <row r="27" spans="1:17">
      <c r="B27" s="7"/>
      <c r="C27" s="7"/>
      <c r="D27" s="8"/>
      <c r="E27" s="9"/>
      <c r="F27" s="9"/>
      <c r="G27" s="9"/>
      <c r="H27" s="10"/>
      <c r="I27" s="11"/>
      <c r="J27" s="11"/>
      <c r="K27" s="11"/>
      <c r="L27" s="11"/>
      <c r="M27" s="52"/>
      <c r="N27" s="53"/>
      <c r="O27" s="54"/>
      <c r="P27" s="53"/>
      <c r="Q27" s="53"/>
    </row>
    <row r="28" spans="1:17">
      <c r="C28" s="14"/>
      <c r="D28" s="14"/>
      <c r="E28" s="15"/>
      <c r="F28" s="15"/>
      <c r="G28" s="15"/>
      <c r="H28" s="16"/>
    </row>
    <row r="29" spans="1:17" ht="13.8">
      <c r="A29" s="153" t="s">
        <v>218</v>
      </c>
      <c r="C29" s="14"/>
      <c r="D29" s="14"/>
      <c r="E29" s="15"/>
      <c r="F29" s="15"/>
      <c r="G29" s="15"/>
      <c r="H29" s="16"/>
      <c r="M29" s="127">
        <v>350158</v>
      </c>
      <c r="N29" s="127">
        <v>299208</v>
      </c>
      <c r="O29" s="127">
        <v>104344</v>
      </c>
      <c r="P29" s="127">
        <v>286390</v>
      </c>
      <c r="Q29" s="141">
        <v>1040100</v>
      </c>
    </row>
    <row r="30" spans="1:17">
      <c r="C30" s="14"/>
      <c r="D30" s="14"/>
      <c r="E30" s="15"/>
      <c r="F30" s="15"/>
      <c r="G30" s="15"/>
      <c r="H30" s="16"/>
    </row>
    <row r="31" spans="1:17">
      <c r="C31" s="14"/>
      <c r="D31" s="14"/>
      <c r="E31" s="15"/>
      <c r="F31" s="15"/>
      <c r="G31" s="15"/>
      <c r="H31" s="16"/>
    </row>
    <row r="32" spans="1:17" ht="13.8">
      <c r="C32" s="14"/>
      <c r="D32" s="14"/>
      <c r="E32" s="15"/>
      <c r="F32" s="15"/>
      <c r="G32" s="15"/>
      <c r="H32" s="40"/>
      <c r="I32" s="40"/>
      <c r="J32" s="40"/>
      <c r="K32" s="40"/>
      <c r="L32" s="17">
        <v>187700</v>
      </c>
      <c r="M32" s="40">
        <f>ROUND(M8/$Q$8*$Q$32,0)</f>
        <v>403990</v>
      </c>
      <c r="N32" s="40">
        <f>ROUND(N8/$Q$8*$Q$32,0)</f>
        <v>345206</v>
      </c>
      <c r="O32" s="40">
        <f>ROUND(O8/$Q$8*$Q$32,0)</f>
        <v>120386</v>
      </c>
      <c r="P32" s="40">
        <f>ROUND(P8/$Q$8*$Q$32,0)</f>
        <v>330419</v>
      </c>
      <c r="Q32" s="19">
        <v>1200000</v>
      </c>
    </row>
    <row r="33" spans="3:17" ht="13.8">
      <c r="C33" s="14"/>
      <c r="D33" s="14"/>
      <c r="E33" s="15"/>
      <c r="F33" s="15"/>
      <c r="G33" s="15"/>
      <c r="H33" s="16"/>
      <c r="M33" s="40">
        <f>ROUND(M8/$Q$8*$Q$33,0)</f>
        <v>33666</v>
      </c>
      <c r="N33" s="40">
        <f>ROUND(N8/$Q$8*$Q$33,0)</f>
        <v>28767</v>
      </c>
      <c r="O33" s="40">
        <f>ROUND(O8/$Q$8*$Q$33,0)</f>
        <v>10032</v>
      </c>
      <c r="P33" s="40">
        <f>ROUND(P8/$Q$8*$Q$33,0)</f>
        <v>27535</v>
      </c>
      <c r="Q33" s="19">
        <v>100000</v>
      </c>
    </row>
    <row r="34" spans="3:17">
      <c r="C34" s="14"/>
      <c r="D34" s="14"/>
      <c r="E34" s="15"/>
      <c r="F34" s="15"/>
      <c r="G34" s="15"/>
      <c r="H34" s="16"/>
      <c r="O34" s="17">
        <v>68.3</v>
      </c>
    </row>
    <row r="35" spans="3:17">
      <c r="C35" s="14"/>
      <c r="D35" s="14"/>
      <c r="E35" s="15"/>
      <c r="F35" s="15"/>
      <c r="G35" s="15"/>
      <c r="H35" s="16"/>
    </row>
    <row r="36" spans="3:17">
      <c r="C36" s="14"/>
      <c r="D36" s="14"/>
      <c r="E36" s="15"/>
      <c r="F36" s="15"/>
      <c r="G36" s="15"/>
      <c r="H36" s="155">
        <v>111.68</v>
      </c>
      <c r="I36" s="17">
        <v>91.17</v>
      </c>
      <c r="J36" s="17">
        <v>26.93</v>
      </c>
      <c r="K36" s="17">
        <v>87.41</v>
      </c>
      <c r="L36" s="156">
        <f>SUM(H36:K36)</f>
        <v>317.19000000000005</v>
      </c>
      <c r="M36" s="158">
        <v>229.2</v>
      </c>
      <c r="N36" s="159">
        <v>195.85</v>
      </c>
      <c r="O36" s="160">
        <v>68.3</v>
      </c>
      <c r="P36" s="160">
        <v>187.46</v>
      </c>
      <c r="Q36" s="161">
        <f>SUM(M36:P36)</f>
        <v>680.81</v>
      </c>
    </row>
    <row r="37" spans="3:17">
      <c r="C37" s="14"/>
      <c r="D37" s="14"/>
      <c r="E37" s="15"/>
      <c r="F37" s="15"/>
      <c r="G37" s="15"/>
      <c r="H37" s="41">
        <f>ROUND(H36/$L$36*$L$37,2)</f>
        <v>14083.67</v>
      </c>
      <c r="I37" s="41">
        <f>ROUND(I36/$L$36*$L$37,2)</f>
        <v>11497.21</v>
      </c>
      <c r="J37" s="41">
        <f>ROUND(J36/$L$36*$L$37,2)</f>
        <v>3396.07</v>
      </c>
      <c r="K37" s="41">
        <f>ROUND(K36/$L$36*$L$37,2)</f>
        <v>11023.05</v>
      </c>
      <c r="L37" s="157">
        <v>40000</v>
      </c>
      <c r="M37" s="162">
        <f>ROUND(M36/$Q$36*$Q$37,2)</f>
        <v>2131.7199999999998</v>
      </c>
      <c r="N37" s="162">
        <f>ROUND(N36/$Q$36*$Q$37,2)</f>
        <v>1821.54</v>
      </c>
      <c r="O37" s="162">
        <f>ROUND(O36/$Q$36*$Q$37,2)</f>
        <v>635.24</v>
      </c>
      <c r="P37" s="162">
        <f>ROUND(P36/$Q$36*$Q$37,2)</f>
        <v>1743.51</v>
      </c>
      <c r="Q37" s="163">
        <v>6332</v>
      </c>
    </row>
    <row r="38" spans="3:17">
      <c r="C38" s="14"/>
      <c r="D38" s="14"/>
      <c r="E38" s="15"/>
      <c r="F38" s="15"/>
      <c r="G38" s="15"/>
      <c r="H38" s="41">
        <f>H37/$L$37*100</f>
        <v>35.209174999999995</v>
      </c>
      <c r="I38" s="41">
        <f>I37/$L$37*100</f>
        <v>28.743024999999999</v>
      </c>
      <c r="J38" s="41">
        <f>J37/$L$37*100</f>
        <v>8.4901750000000007</v>
      </c>
      <c r="K38" s="41">
        <f>K37/$L$37*100</f>
        <v>27.557624999999998</v>
      </c>
      <c r="L38" s="17">
        <f>SUM(H38:K38)</f>
        <v>100</v>
      </c>
      <c r="M38" s="162">
        <f>M37/$Q$37*100</f>
        <v>33.665824384080857</v>
      </c>
      <c r="N38" s="162">
        <f>N37/$Q$37*100</f>
        <v>28.767214150347442</v>
      </c>
      <c r="O38" s="162">
        <f>O37/$Q$37*100</f>
        <v>10.032217308907139</v>
      </c>
      <c r="P38" s="162">
        <f>P37/$Q$37*100</f>
        <v>27.534902084649399</v>
      </c>
      <c r="Q38" s="160">
        <f>SUM(M38:P38)</f>
        <v>100.00015792798484</v>
      </c>
    </row>
    <row r="39" spans="3:17">
      <c r="C39" s="14"/>
      <c r="D39" s="14"/>
      <c r="E39" s="15"/>
      <c r="F39" s="15"/>
      <c r="G39" s="15"/>
      <c r="H39" s="16"/>
    </row>
    <row r="40" spans="3:17">
      <c r="C40" s="14"/>
      <c r="D40" s="14"/>
      <c r="E40" s="15"/>
      <c r="F40" s="15"/>
      <c r="G40" s="15"/>
      <c r="H40" s="16">
        <f>ROUND(H39/$L$36*$L$37,2)</f>
        <v>0</v>
      </c>
      <c r="I40" s="17">
        <f>ROUND(I39/$L$36*$L$37,2)</f>
        <v>0</v>
      </c>
      <c r="J40" s="17">
        <f>ROUND(J39/$L$36*$L$37,2)</f>
        <v>0</v>
      </c>
      <c r="K40" s="17">
        <f>ROUND(K39/$L$36*$L$37,2)</f>
        <v>0</v>
      </c>
      <c r="L40" s="17">
        <v>1200</v>
      </c>
    </row>
    <row r="41" spans="3:17">
      <c r="C41" s="14"/>
      <c r="D41" s="14"/>
      <c r="E41" s="15"/>
      <c r="F41" s="15"/>
      <c r="G41" s="15"/>
      <c r="H41" s="16"/>
    </row>
    <row r="42" spans="3:17" ht="15.6">
      <c r="C42" s="14"/>
      <c r="D42" s="14"/>
      <c r="E42" s="15"/>
      <c r="F42" s="15"/>
      <c r="G42" s="15"/>
      <c r="H42" s="142">
        <v>80.849999999999994</v>
      </c>
      <c r="I42" s="143">
        <v>66</v>
      </c>
      <c r="J42" s="143">
        <v>19.489999999999998</v>
      </c>
      <c r="K42" s="143">
        <v>63.28</v>
      </c>
      <c r="L42" s="144">
        <f>SUM(H42:K42)</f>
        <v>229.62</v>
      </c>
      <c r="M42" s="143"/>
    </row>
    <row r="43" spans="3:17" ht="15.6">
      <c r="C43" s="14"/>
      <c r="D43" s="14"/>
      <c r="E43" s="15"/>
      <c r="F43" s="15"/>
      <c r="G43" s="15"/>
      <c r="H43" s="145">
        <f>ROUND(H42/$L$42*$L$43,2)</f>
        <v>366222.82</v>
      </c>
      <c r="I43" s="145">
        <f>ROUND(I42/$L$42*$L$43,2)</f>
        <v>298957.40999999997</v>
      </c>
      <c r="J43" s="145">
        <f>ROUND(J42/$L$42*$L$43,2)</f>
        <v>88283.03</v>
      </c>
      <c r="K43" s="145">
        <f>ROUND(K42/$L$42*$L$43,2)</f>
        <v>286636.74</v>
      </c>
      <c r="L43" s="143">
        <v>1040100</v>
      </c>
      <c r="M43" s="143"/>
    </row>
    <row r="44" spans="3:17" ht="15.6">
      <c r="C44" s="14"/>
      <c r="D44" s="14"/>
      <c r="E44" s="15"/>
      <c r="F44" s="15"/>
      <c r="G44" s="15"/>
      <c r="H44" s="145">
        <f>H43/$L$43*100</f>
        <v>35.210347082011346</v>
      </c>
      <c r="I44" s="145">
        <f>I43/$L$43*100</f>
        <v>28.743141044130372</v>
      </c>
      <c r="J44" s="145">
        <f>J43/$L$43*100</f>
        <v>8.4879367368522249</v>
      </c>
      <c r="K44" s="145">
        <f>K43/$L$43*100</f>
        <v>27.558575137006059</v>
      </c>
      <c r="L44" s="143">
        <f>SUM(H44:K44)</f>
        <v>100</v>
      </c>
      <c r="M44" s="143"/>
    </row>
    <row r="45" spans="3:17">
      <c r="C45" s="14"/>
      <c r="D45" s="14"/>
      <c r="E45" s="15"/>
      <c r="F45" s="15"/>
      <c r="G45" s="15"/>
      <c r="H45" s="16"/>
    </row>
    <row r="46" spans="3:17">
      <c r="C46" s="14"/>
      <c r="D46" s="14"/>
      <c r="E46" s="15"/>
      <c r="F46" s="15"/>
      <c r="G46" s="15"/>
      <c r="H46" s="16"/>
    </row>
    <row r="47" spans="3:17">
      <c r="C47" s="14"/>
      <c r="D47" s="14"/>
      <c r="E47" s="15"/>
      <c r="F47" s="15"/>
      <c r="G47" s="15"/>
      <c r="H47" s="16"/>
    </row>
    <row r="48" spans="3:17">
      <c r="C48" s="14"/>
      <c r="D48" s="14"/>
      <c r="E48" s="15"/>
      <c r="F48" s="15"/>
      <c r="G48" s="15"/>
      <c r="H48" s="16"/>
    </row>
    <row r="49" spans="3:8">
      <c r="C49" s="14"/>
      <c r="D49" s="14"/>
      <c r="E49" s="15"/>
      <c r="F49" s="15"/>
      <c r="G49" s="15"/>
      <c r="H49" s="16"/>
    </row>
    <row r="50" spans="3:8">
      <c r="C50" s="14"/>
      <c r="D50" s="14"/>
      <c r="E50" s="15"/>
      <c r="F50" s="15"/>
      <c r="G50" s="15"/>
      <c r="H50" s="16"/>
    </row>
    <row r="51" spans="3:8">
      <c r="C51" s="14"/>
      <c r="D51" s="14"/>
      <c r="E51" s="15"/>
      <c r="F51" s="15"/>
      <c r="G51" s="15"/>
      <c r="H51" s="16"/>
    </row>
    <row r="52" spans="3:8">
      <c r="C52" s="14"/>
      <c r="D52" s="14"/>
      <c r="E52" s="15"/>
      <c r="F52" s="15"/>
      <c r="G52" s="15"/>
      <c r="H52" s="16"/>
    </row>
    <row r="53" spans="3:8">
      <c r="C53" s="14"/>
      <c r="D53" s="14"/>
      <c r="E53" s="15"/>
      <c r="F53" s="15"/>
      <c r="G53" s="15"/>
      <c r="H53" s="16"/>
    </row>
    <row r="54" spans="3:8">
      <c r="C54" s="14"/>
      <c r="D54" s="14"/>
      <c r="E54" s="15"/>
      <c r="F54" s="15"/>
      <c r="G54" s="15"/>
      <c r="H54" s="16"/>
    </row>
    <row r="55" spans="3:8">
      <c r="C55" s="14"/>
      <c r="D55" s="14"/>
      <c r="E55" s="15"/>
      <c r="F55" s="15"/>
      <c r="G55" s="15"/>
      <c r="H55" s="16"/>
    </row>
    <row r="56" spans="3:8">
      <c r="C56" s="14"/>
      <c r="D56" s="14"/>
      <c r="E56" s="15"/>
      <c r="F56" s="15"/>
      <c r="G56" s="15"/>
      <c r="H56" s="16"/>
    </row>
    <row r="57" spans="3:8">
      <c r="C57" s="14"/>
      <c r="D57" s="14"/>
      <c r="E57" s="15"/>
      <c r="F57" s="15"/>
      <c r="G57" s="15"/>
      <c r="H57" s="16"/>
    </row>
    <row r="58" spans="3:8">
      <c r="C58" s="14"/>
      <c r="D58" s="14"/>
      <c r="E58" s="15"/>
      <c r="F58" s="15"/>
      <c r="G58" s="15"/>
      <c r="H58" s="16"/>
    </row>
    <row r="59" spans="3:8">
      <c r="C59" s="14"/>
      <c r="D59" s="14"/>
      <c r="E59" s="15"/>
      <c r="F59" s="15"/>
      <c r="G59" s="15"/>
      <c r="H59" s="16"/>
    </row>
    <row r="60" spans="3:8">
      <c r="C60" s="14"/>
      <c r="D60" s="14"/>
      <c r="E60" s="15"/>
      <c r="F60" s="15"/>
      <c r="G60" s="15"/>
      <c r="H60" s="16"/>
    </row>
    <row r="61" spans="3:8">
      <c r="C61" s="14"/>
      <c r="D61" s="14"/>
      <c r="E61" s="15"/>
      <c r="F61" s="15"/>
      <c r="G61" s="15"/>
      <c r="H61" s="16"/>
    </row>
    <row r="62" spans="3:8">
      <c r="C62" s="14"/>
      <c r="D62" s="14"/>
      <c r="E62" s="15"/>
      <c r="F62" s="15"/>
      <c r="G62" s="15"/>
      <c r="H62" s="16"/>
    </row>
    <row r="63" spans="3:8">
      <c r="C63" s="14"/>
      <c r="D63" s="14"/>
      <c r="E63" s="15"/>
      <c r="F63" s="15"/>
      <c r="G63" s="15"/>
      <c r="H63" s="16"/>
    </row>
    <row r="64" spans="3:8">
      <c r="C64" s="14"/>
      <c r="D64" s="14"/>
      <c r="E64" s="15"/>
      <c r="F64" s="15"/>
      <c r="G64" s="15"/>
      <c r="H64" s="16"/>
    </row>
    <row r="65" spans="3:8">
      <c r="C65" s="14"/>
      <c r="D65" s="14"/>
      <c r="E65" s="15"/>
      <c r="F65" s="15"/>
      <c r="G65" s="15"/>
      <c r="H65" s="16"/>
    </row>
    <row r="66" spans="3:8">
      <c r="C66" s="14"/>
      <c r="D66" s="14"/>
      <c r="E66" s="15"/>
      <c r="F66" s="15"/>
      <c r="G66" s="15"/>
      <c r="H66" s="16"/>
    </row>
    <row r="67" spans="3:8">
      <c r="C67" s="14"/>
      <c r="D67" s="14"/>
      <c r="E67" s="15"/>
      <c r="F67" s="15"/>
      <c r="G67" s="15"/>
      <c r="H67" s="16"/>
    </row>
    <row r="68" spans="3:8">
      <c r="C68" s="14"/>
      <c r="D68" s="14"/>
      <c r="E68" s="15"/>
      <c r="F68" s="15"/>
      <c r="G68" s="15"/>
      <c r="H68" s="16"/>
    </row>
    <row r="69" spans="3:8">
      <c r="C69" s="14"/>
      <c r="D69" s="14"/>
      <c r="E69" s="15"/>
      <c r="F69" s="15"/>
      <c r="G69" s="15"/>
      <c r="H69" s="16"/>
    </row>
    <row r="70" spans="3:8">
      <c r="C70" s="14"/>
      <c r="D70" s="14"/>
      <c r="E70" s="15"/>
      <c r="F70" s="15"/>
      <c r="G70" s="15"/>
      <c r="H70" s="16"/>
    </row>
    <row r="71" spans="3:8">
      <c r="C71" s="14"/>
      <c r="D71" s="14"/>
      <c r="E71" s="15"/>
      <c r="F71" s="15"/>
      <c r="G71" s="15"/>
      <c r="H71" s="16"/>
    </row>
    <row r="72" spans="3:8">
      <c r="C72" s="14"/>
      <c r="D72" s="14"/>
      <c r="E72" s="15"/>
      <c r="F72" s="15"/>
      <c r="G72" s="15"/>
      <c r="H72" s="16"/>
    </row>
    <row r="73" spans="3:8">
      <c r="C73" s="14"/>
      <c r="D73" s="14"/>
      <c r="E73" s="15"/>
      <c r="F73" s="15"/>
      <c r="G73" s="15"/>
      <c r="H73" s="16"/>
    </row>
    <row r="74" spans="3:8">
      <c r="C74" s="14"/>
      <c r="D74" s="14"/>
      <c r="E74" s="15"/>
      <c r="F74" s="15"/>
      <c r="G74" s="15"/>
      <c r="H74" s="16"/>
    </row>
    <row r="75" spans="3:8">
      <c r="C75" s="14"/>
      <c r="D75" s="14"/>
      <c r="E75" s="15"/>
      <c r="F75" s="15"/>
      <c r="G75" s="15"/>
      <c r="H75" s="16"/>
    </row>
    <row r="76" spans="3:8">
      <c r="C76" s="14"/>
      <c r="D76" s="14"/>
      <c r="E76" s="15"/>
      <c r="F76" s="15"/>
      <c r="G76" s="15"/>
      <c r="H76" s="16"/>
    </row>
    <row r="77" spans="3:8">
      <c r="C77" s="14"/>
      <c r="D77" s="14"/>
      <c r="E77" s="15"/>
      <c r="F77" s="15"/>
      <c r="G77" s="15"/>
      <c r="H77" s="16"/>
    </row>
    <row r="78" spans="3:8">
      <c r="C78" s="14"/>
      <c r="D78" s="14"/>
      <c r="E78" s="15"/>
      <c r="F78" s="15"/>
      <c r="G78" s="15"/>
      <c r="H78" s="16"/>
    </row>
    <row r="79" spans="3:8">
      <c r="C79" s="14"/>
      <c r="D79" s="14"/>
      <c r="E79" s="15"/>
      <c r="F79" s="15"/>
      <c r="G79" s="15"/>
      <c r="H79" s="16"/>
    </row>
    <row r="80" spans="3:8">
      <c r="C80" s="14"/>
      <c r="D80" s="14"/>
      <c r="E80" s="15"/>
      <c r="F80" s="15"/>
      <c r="G80" s="15"/>
      <c r="H80" s="16"/>
    </row>
    <row r="81" spans="3:8">
      <c r="C81" s="14"/>
      <c r="D81" s="14"/>
      <c r="E81" s="15"/>
      <c r="F81" s="15"/>
      <c r="G81" s="15"/>
      <c r="H81" s="16"/>
    </row>
    <row r="82" spans="3:8">
      <c r="C82" s="14"/>
      <c r="D82" s="14"/>
      <c r="E82" s="15"/>
      <c r="F82" s="15"/>
      <c r="G82" s="15"/>
      <c r="H82" s="16"/>
    </row>
    <row r="83" spans="3:8">
      <c r="C83" s="14"/>
      <c r="D83" s="14"/>
      <c r="E83" s="15"/>
      <c r="F83" s="15"/>
      <c r="G83" s="15"/>
      <c r="H83" s="16"/>
    </row>
    <row r="84" spans="3:8">
      <c r="C84" s="14"/>
      <c r="D84" s="14"/>
      <c r="E84" s="15"/>
      <c r="F84" s="15"/>
      <c r="G84" s="15"/>
      <c r="H84" s="16"/>
    </row>
    <row r="85" spans="3:8">
      <c r="C85" s="14"/>
      <c r="D85" s="14"/>
      <c r="E85" s="15"/>
      <c r="F85" s="15"/>
      <c r="G85" s="15"/>
      <c r="H85" s="16"/>
    </row>
    <row r="86" spans="3:8">
      <c r="C86" s="14"/>
      <c r="D86" s="14"/>
      <c r="E86" s="15"/>
      <c r="F86" s="15"/>
      <c r="G86" s="15"/>
      <c r="H86" s="16"/>
    </row>
    <row r="87" spans="3:8">
      <c r="C87" s="14"/>
      <c r="D87" s="14"/>
      <c r="E87" s="15"/>
      <c r="F87" s="15"/>
      <c r="G87" s="15"/>
      <c r="H87" s="16"/>
    </row>
    <row r="88" spans="3:8">
      <c r="C88" s="14"/>
      <c r="D88" s="14"/>
      <c r="E88" s="15"/>
      <c r="F88" s="15"/>
      <c r="G88" s="15"/>
      <c r="H88" s="16"/>
    </row>
    <row r="89" spans="3:8">
      <c r="C89" s="14"/>
      <c r="D89" s="14"/>
      <c r="E89" s="15"/>
      <c r="F89" s="15"/>
      <c r="G89" s="15"/>
      <c r="H89" s="16"/>
    </row>
    <row r="90" spans="3:8">
      <c r="C90" s="14"/>
      <c r="D90" s="14"/>
      <c r="E90" s="15"/>
      <c r="F90" s="15"/>
      <c r="G90" s="15"/>
      <c r="H90" s="16"/>
    </row>
    <row r="91" spans="3:8">
      <c r="C91" s="14"/>
      <c r="D91" s="14"/>
      <c r="E91" s="15"/>
      <c r="F91" s="15"/>
      <c r="G91" s="15"/>
      <c r="H91" s="16"/>
    </row>
    <row r="92" spans="3:8">
      <c r="C92" s="14"/>
      <c r="D92" s="14"/>
      <c r="E92" s="15"/>
      <c r="F92" s="15"/>
      <c r="G92" s="15"/>
      <c r="H92" s="16"/>
    </row>
    <row r="93" spans="3:8">
      <c r="C93" s="14"/>
      <c r="D93" s="14"/>
      <c r="E93" s="15"/>
      <c r="F93" s="15"/>
      <c r="G93" s="15"/>
      <c r="H93" s="16"/>
    </row>
    <row r="94" spans="3:8">
      <c r="C94" s="14"/>
      <c r="D94" s="14"/>
      <c r="E94" s="15"/>
      <c r="F94" s="15"/>
      <c r="G94" s="15"/>
      <c r="H94" s="16"/>
    </row>
    <row r="95" spans="3:8">
      <c r="C95" s="14"/>
      <c r="D95" s="14"/>
      <c r="E95" s="15"/>
      <c r="F95" s="15"/>
      <c r="G95" s="15"/>
      <c r="H95" s="16"/>
    </row>
    <row r="96" spans="3:8">
      <c r="C96" s="14"/>
      <c r="D96" s="14"/>
      <c r="E96" s="15"/>
      <c r="F96" s="15"/>
      <c r="G96" s="15"/>
      <c r="H96" s="16"/>
    </row>
    <row r="97" spans="3:8">
      <c r="C97" s="14"/>
      <c r="D97" s="14"/>
      <c r="E97" s="15"/>
      <c r="F97" s="15"/>
      <c r="G97" s="15"/>
      <c r="H97" s="16"/>
    </row>
    <row r="98" spans="3:8">
      <c r="C98" s="14"/>
      <c r="D98" s="14"/>
      <c r="E98" s="15"/>
      <c r="F98" s="15"/>
      <c r="G98" s="15"/>
      <c r="H98" s="16"/>
    </row>
    <row r="99" spans="3:8">
      <c r="C99" s="14"/>
      <c r="D99" s="14"/>
      <c r="E99" s="15"/>
      <c r="F99" s="15"/>
      <c r="G99" s="15"/>
      <c r="H99" s="16"/>
    </row>
    <row r="100" spans="3:8">
      <c r="C100" s="14"/>
      <c r="D100" s="14"/>
      <c r="E100" s="15"/>
      <c r="F100" s="15"/>
      <c r="G100" s="15"/>
      <c r="H100" s="16"/>
    </row>
    <row r="101" spans="3:8">
      <c r="C101" s="14"/>
      <c r="D101" s="14"/>
      <c r="E101" s="15"/>
      <c r="F101" s="15"/>
      <c r="G101" s="15"/>
      <c r="H101" s="16"/>
    </row>
    <row r="102" spans="3:8">
      <c r="C102" s="14"/>
      <c r="D102" s="14"/>
      <c r="E102" s="15"/>
      <c r="F102" s="15"/>
      <c r="G102" s="15"/>
      <c r="H102" s="16"/>
    </row>
    <row r="103" spans="3:8">
      <c r="C103" s="14"/>
      <c r="D103" s="14"/>
      <c r="E103" s="15"/>
      <c r="F103" s="15"/>
      <c r="G103" s="15"/>
      <c r="H103" s="16"/>
    </row>
    <row r="104" spans="3:8">
      <c r="C104" s="14"/>
      <c r="D104" s="14"/>
      <c r="E104" s="15"/>
      <c r="F104" s="15"/>
      <c r="G104" s="15"/>
      <c r="H104" s="16"/>
    </row>
    <row r="105" spans="3:8">
      <c r="C105" s="14"/>
      <c r="D105" s="14"/>
      <c r="E105" s="15"/>
      <c r="F105" s="15"/>
      <c r="G105" s="15"/>
      <c r="H105" s="16"/>
    </row>
    <row r="106" spans="3:8">
      <c r="C106" s="14"/>
      <c r="D106" s="14"/>
      <c r="E106" s="15"/>
      <c r="F106" s="15"/>
      <c r="G106" s="15"/>
      <c r="H106" s="16"/>
    </row>
    <row r="107" spans="3:8">
      <c r="C107" s="14"/>
      <c r="D107" s="14"/>
      <c r="E107" s="15"/>
      <c r="F107" s="15"/>
      <c r="G107" s="15"/>
      <c r="H107" s="16"/>
    </row>
    <row r="108" spans="3:8">
      <c r="C108" s="14"/>
      <c r="D108" s="14"/>
      <c r="E108" s="15"/>
      <c r="F108" s="15"/>
      <c r="G108" s="15"/>
      <c r="H108" s="16"/>
    </row>
    <row r="109" spans="3:8">
      <c r="C109" s="14"/>
      <c r="D109" s="14"/>
      <c r="E109" s="15"/>
      <c r="F109" s="15"/>
      <c r="G109" s="15"/>
      <c r="H109" s="16"/>
    </row>
    <row r="110" spans="3:8">
      <c r="C110" s="14"/>
      <c r="D110" s="14"/>
      <c r="E110" s="15"/>
      <c r="F110" s="15"/>
      <c r="G110" s="15"/>
      <c r="H110" s="16"/>
    </row>
    <row r="111" spans="3:8">
      <c r="C111" s="14"/>
      <c r="D111" s="14"/>
      <c r="E111" s="15"/>
      <c r="F111" s="15"/>
      <c r="G111" s="15"/>
      <c r="H111" s="16"/>
    </row>
    <row r="112" spans="3:8">
      <c r="C112" s="14"/>
      <c r="D112" s="14"/>
      <c r="E112" s="15"/>
      <c r="F112" s="15"/>
      <c r="G112" s="15"/>
      <c r="H112" s="16"/>
    </row>
    <row r="113" spans="3:8">
      <c r="C113" s="14"/>
      <c r="D113" s="14"/>
      <c r="E113" s="15"/>
      <c r="F113" s="15"/>
      <c r="G113" s="15"/>
      <c r="H113" s="16"/>
    </row>
    <row r="114" spans="3:8">
      <c r="C114" s="14"/>
      <c r="D114" s="14"/>
      <c r="E114" s="15"/>
      <c r="F114" s="15"/>
      <c r="G114" s="15"/>
      <c r="H114" s="16"/>
    </row>
    <row r="115" spans="3:8">
      <c r="C115" s="14"/>
      <c r="D115" s="14"/>
      <c r="E115" s="15"/>
      <c r="F115" s="15"/>
      <c r="G115" s="15"/>
      <c r="H115" s="16"/>
    </row>
    <row r="116" spans="3:8">
      <c r="C116" s="14"/>
      <c r="D116" s="14"/>
      <c r="E116" s="15"/>
      <c r="F116" s="15"/>
      <c r="G116" s="15"/>
      <c r="H116" s="16"/>
    </row>
    <row r="117" spans="3:8">
      <c r="C117" s="14"/>
      <c r="D117" s="14"/>
      <c r="E117" s="15"/>
      <c r="F117" s="15"/>
      <c r="G117" s="15"/>
      <c r="H117" s="16"/>
    </row>
    <row r="118" spans="3:8">
      <c r="C118" s="14"/>
      <c r="D118" s="14"/>
      <c r="E118" s="15"/>
      <c r="F118" s="15"/>
      <c r="G118" s="15"/>
      <c r="H118" s="16"/>
    </row>
    <row r="119" spans="3:8">
      <c r="C119" s="14"/>
      <c r="D119" s="14"/>
      <c r="E119" s="15"/>
      <c r="F119" s="15"/>
      <c r="G119" s="15"/>
      <c r="H119" s="16"/>
    </row>
    <row r="120" spans="3:8">
      <c r="C120" s="14"/>
      <c r="D120" s="14"/>
      <c r="E120" s="15"/>
      <c r="F120" s="15"/>
      <c r="G120" s="15"/>
      <c r="H120" s="16"/>
    </row>
    <row r="121" spans="3:8">
      <c r="C121" s="14"/>
      <c r="D121" s="14"/>
      <c r="E121" s="15"/>
      <c r="F121" s="15"/>
      <c r="G121" s="15"/>
      <c r="H121" s="16"/>
    </row>
    <row r="122" spans="3:8">
      <c r="C122" s="14"/>
      <c r="D122" s="14"/>
      <c r="E122" s="15"/>
      <c r="F122" s="15"/>
      <c r="G122" s="15"/>
      <c r="H122" s="16"/>
    </row>
    <row r="123" spans="3:8">
      <c r="C123" s="14"/>
      <c r="D123" s="14"/>
      <c r="E123" s="15"/>
      <c r="F123" s="15"/>
      <c r="G123" s="15"/>
      <c r="H123" s="16"/>
    </row>
    <row r="124" spans="3:8">
      <c r="C124" s="14"/>
      <c r="D124" s="14"/>
      <c r="E124" s="15"/>
      <c r="F124" s="15"/>
      <c r="G124" s="15"/>
      <c r="H124" s="16"/>
    </row>
    <row r="125" spans="3:8">
      <c r="C125" s="14"/>
      <c r="D125" s="14"/>
      <c r="E125" s="15"/>
      <c r="F125" s="15"/>
      <c r="G125" s="15"/>
      <c r="H125" s="16"/>
    </row>
    <row r="126" spans="3:8">
      <c r="C126" s="14"/>
      <c r="D126" s="14"/>
      <c r="E126" s="15"/>
      <c r="F126" s="15"/>
      <c r="G126" s="15"/>
      <c r="H126" s="16"/>
    </row>
    <row r="127" spans="3:8">
      <c r="C127" s="14"/>
      <c r="D127" s="14"/>
      <c r="E127" s="15"/>
      <c r="F127" s="15"/>
      <c r="G127" s="15"/>
      <c r="H127" s="16"/>
    </row>
    <row r="128" spans="3:8">
      <c r="C128" s="14"/>
      <c r="D128" s="14"/>
      <c r="E128" s="15"/>
      <c r="F128" s="15"/>
      <c r="G128" s="15"/>
      <c r="H128" s="16"/>
    </row>
    <row r="129" spans="3:8">
      <c r="C129" s="14"/>
      <c r="D129" s="14"/>
      <c r="E129" s="15"/>
      <c r="F129" s="15"/>
      <c r="G129" s="15"/>
      <c r="H129" s="16"/>
    </row>
    <row r="130" spans="3:8">
      <c r="C130" s="14"/>
      <c r="D130" s="14"/>
      <c r="E130" s="15"/>
      <c r="F130" s="15"/>
      <c r="G130" s="15"/>
      <c r="H130" s="16"/>
    </row>
    <row r="131" spans="3:8">
      <c r="C131" s="14"/>
      <c r="D131" s="14"/>
      <c r="E131" s="15"/>
      <c r="F131" s="15"/>
      <c r="G131" s="15"/>
      <c r="H131" s="16"/>
    </row>
    <row r="132" spans="3:8">
      <c r="C132" s="14"/>
      <c r="D132" s="14"/>
      <c r="E132" s="15"/>
      <c r="F132" s="15"/>
      <c r="G132" s="15"/>
      <c r="H132" s="16"/>
    </row>
    <row r="133" spans="3:8">
      <c r="C133" s="14"/>
      <c r="D133" s="14"/>
      <c r="E133" s="15"/>
      <c r="F133" s="15"/>
      <c r="G133" s="15"/>
      <c r="H133" s="16"/>
    </row>
    <row r="134" spans="3:8">
      <c r="C134" s="14"/>
      <c r="D134" s="14"/>
      <c r="E134" s="15"/>
      <c r="F134" s="15"/>
      <c r="G134" s="15"/>
      <c r="H134" s="16"/>
    </row>
    <row r="135" spans="3:8">
      <c r="C135" s="14"/>
      <c r="D135" s="14"/>
      <c r="E135" s="15"/>
      <c r="F135" s="15"/>
      <c r="G135" s="15"/>
      <c r="H135" s="16"/>
    </row>
    <row r="136" spans="3:8">
      <c r="C136" s="14"/>
      <c r="D136" s="14"/>
      <c r="E136" s="15"/>
      <c r="F136" s="15"/>
      <c r="G136" s="15"/>
      <c r="H136" s="16"/>
    </row>
    <row r="137" spans="3:8">
      <c r="C137" s="14"/>
      <c r="D137" s="14"/>
      <c r="E137" s="15"/>
      <c r="F137" s="15"/>
      <c r="G137" s="15"/>
      <c r="H137" s="16"/>
    </row>
    <row r="138" spans="3:8">
      <c r="C138" s="14"/>
      <c r="D138" s="14"/>
      <c r="E138" s="15"/>
      <c r="F138" s="15"/>
      <c r="G138" s="15"/>
      <c r="H138" s="16"/>
    </row>
    <row r="139" spans="3:8">
      <c r="C139" s="14"/>
      <c r="D139" s="14"/>
      <c r="E139" s="15"/>
      <c r="F139" s="15"/>
      <c r="G139" s="15"/>
      <c r="H139" s="16"/>
    </row>
    <row r="140" spans="3:8">
      <c r="C140" s="14"/>
      <c r="D140" s="14"/>
      <c r="E140" s="15"/>
      <c r="F140" s="15"/>
      <c r="G140" s="15"/>
      <c r="H140" s="16"/>
    </row>
    <row r="141" spans="3:8">
      <c r="C141" s="14"/>
      <c r="D141" s="14"/>
      <c r="E141" s="15"/>
      <c r="F141" s="15"/>
      <c r="G141" s="15"/>
      <c r="H141" s="16"/>
    </row>
    <row r="142" spans="3:8">
      <c r="C142" s="14"/>
      <c r="D142" s="14"/>
      <c r="E142" s="15"/>
      <c r="F142" s="15"/>
      <c r="G142" s="15"/>
      <c r="H142" s="16"/>
    </row>
    <row r="143" spans="3:8">
      <c r="C143" s="14"/>
      <c r="D143" s="14"/>
      <c r="E143" s="15"/>
      <c r="F143" s="15"/>
      <c r="G143" s="15"/>
      <c r="H143" s="16"/>
    </row>
    <row r="144" spans="3:8">
      <c r="C144" s="14"/>
      <c r="D144" s="14"/>
      <c r="E144" s="15"/>
      <c r="F144" s="15"/>
      <c r="G144" s="15"/>
      <c r="H144" s="16"/>
    </row>
    <row r="145" spans="3:8">
      <c r="C145" s="14"/>
      <c r="D145" s="14"/>
      <c r="E145" s="15"/>
      <c r="F145" s="15"/>
      <c r="G145" s="15"/>
      <c r="H145" s="16"/>
    </row>
    <row r="146" spans="3:8">
      <c r="C146" s="14"/>
      <c r="D146" s="14"/>
      <c r="E146" s="15"/>
      <c r="F146" s="15"/>
      <c r="G146" s="15"/>
      <c r="H146" s="16"/>
    </row>
    <row r="147" spans="3:8">
      <c r="C147" s="14"/>
      <c r="D147" s="14"/>
      <c r="E147" s="15"/>
      <c r="F147" s="15"/>
      <c r="G147" s="15"/>
      <c r="H147" s="16"/>
    </row>
    <row r="148" spans="3:8">
      <c r="C148" s="14"/>
      <c r="D148" s="14"/>
      <c r="E148" s="15"/>
      <c r="F148" s="15"/>
      <c r="G148" s="15"/>
      <c r="H148" s="16"/>
    </row>
    <row r="149" spans="3:8">
      <c r="C149" s="14"/>
      <c r="D149" s="14"/>
      <c r="E149" s="15"/>
      <c r="F149" s="15"/>
      <c r="G149" s="15"/>
      <c r="H149" s="16"/>
    </row>
    <row r="150" spans="3:8">
      <c r="C150" s="14"/>
      <c r="D150" s="14"/>
      <c r="E150" s="15"/>
      <c r="F150" s="15"/>
      <c r="G150" s="15"/>
      <c r="H150" s="16"/>
    </row>
    <row r="151" spans="3:8">
      <c r="C151" s="14"/>
      <c r="D151" s="14"/>
      <c r="E151" s="15"/>
      <c r="F151" s="15"/>
      <c r="G151" s="15"/>
      <c r="H151" s="16"/>
    </row>
    <row r="152" spans="3:8">
      <c r="C152" s="14"/>
      <c r="D152" s="14"/>
      <c r="E152" s="15"/>
      <c r="F152" s="15"/>
      <c r="G152" s="15"/>
      <c r="H152" s="16"/>
    </row>
    <row r="153" spans="3:8">
      <c r="C153" s="14"/>
      <c r="D153" s="14"/>
      <c r="E153" s="15"/>
      <c r="F153" s="15"/>
      <c r="G153" s="15"/>
      <c r="H153" s="16"/>
    </row>
    <row r="154" spans="3:8">
      <c r="C154" s="14"/>
      <c r="D154" s="14"/>
      <c r="E154" s="15"/>
      <c r="F154" s="15"/>
      <c r="G154" s="15"/>
      <c r="H154" s="16"/>
    </row>
  </sheetData>
  <mergeCells count="8">
    <mergeCell ref="B24:G24"/>
    <mergeCell ref="C26:Q26"/>
    <mergeCell ref="A1:Q1"/>
    <mergeCell ref="A3:Q3"/>
    <mergeCell ref="A6:A7"/>
    <mergeCell ref="B6:G6"/>
    <mergeCell ref="H6:L6"/>
    <mergeCell ref="M6:Q6"/>
  </mergeCells>
  <pageMargins left="0.98425196850393704" right="0.78740157480314965" top="0.74803149606299213" bottom="0.9055118110236221" header="0.51181102362204722" footer="0.59055118110236227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R152"/>
  <sheetViews>
    <sheetView view="pageBreakPreview" zoomScale="115" zoomScaleSheetLayoutView="115" workbookViewId="0">
      <selection activeCell="S24" sqref="S24"/>
    </sheetView>
  </sheetViews>
  <sheetFormatPr defaultColWidth="9.33203125" defaultRowHeight="13.2"/>
  <cols>
    <col min="1" max="1" width="4.6640625" style="12" customWidth="1"/>
    <col min="2" max="2" width="6.6640625" style="13" customWidth="1"/>
    <col min="3" max="3" width="5.6640625" style="23" customWidth="1"/>
    <col min="4" max="4" width="6.33203125" style="23" customWidth="1"/>
    <col min="5" max="5" width="5.6640625" style="24" customWidth="1"/>
    <col min="6" max="7" width="5.6640625" style="17" customWidth="1"/>
    <col min="8" max="8" width="11.5546875" style="25" bestFit="1" customWidth="1"/>
    <col min="9" max="13" width="8.6640625" style="17" customWidth="1"/>
    <col min="14" max="17" width="8.6640625" style="18" customWidth="1"/>
    <col min="18" max="16384" width="9.33203125" style="18"/>
  </cols>
  <sheetData>
    <row r="1" spans="1:17" ht="15.6">
      <c r="A1" s="519" t="s">
        <v>99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17" ht="15.6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</row>
    <row r="3" spans="1:17" ht="15.6">
      <c r="A3" s="520" t="s">
        <v>97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5.6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</row>
    <row r="5" spans="1:17">
      <c r="Q5" s="2" t="s">
        <v>101</v>
      </c>
    </row>
    <row r="6" spans="1:17" ht="16.2" customHeight="1">
      <c r="A6" s="534" t="s">
        <v>141</v>
      </c>
      <c r="B6" s="539" t="s">
        <v>94</v>
      </c>
      <c r="C6" s="540"/>
      <c r="D6" s="540"/>
      <c r="E6" s="540"/>
      <c r="F6" s="540"/>
      <c r="G6" s="541"/>
      <c r="H6" s="531" t="s">
        <v>95</v>
      </c>
      <c r="I6" s="532"/>
      <c r="J6" s="532"/>
      <c r="K6" s="532"/>
      <c r="L6" s="533"/>
      <c r="M6" s="531" t="s">
        <v>93</v>
      </c>
      <c r="N6" s="532"/>
      <c r="O6" s="532"/>
      <c r="P6" s="532"/>
      <c r="Q6" s="533"/>
    </row>
    <row r="7" spans="1:17" ht="13.8">
      <c r="A7" s="535"/>
      <c r="B7" s="411" t="s">
        <v>12</v>
      </c>
      <c r="C7" s="178" t="s">
        <v>75</v>
      </c>
      <c r="D7" s="178" t="s">
        <v>12</v>
      </c>
      <c r="E7" s="179" t="s">
        <v>77</v>
      </c>
      <c r="F7" s="178" t="s">
        <v>76</v>
      </c>
      <c r="G7" s="178" t="s">
        <v>78</v>
      </c>
      <c r="H7" s="180" t="s">
        <v>89</v>
      </c>
      <c r="I7" s="180" t="s">
        <v>90</v>
      </c>
      <c r="J7" s="180" t="s">
        <v>91</v>
      </c>
      <c r="K7" s="180" t="s">
        <v>92</v>
      </c>
      <c r="L7" s="180" t="s">
        <v>64</v>
      </c>
      <c r="M7" s="180" t="s">
        <v>89</v>
      </c>
      <c r="N7" s="180" t="s">
        <v>90</v>
      </c>
      <c r="O7" s="180" t="s">
        <v>91</v>
      </c>
      <c r="P7" s="180" t="s">
        <v>92</v>
      </c>
      <c r="Q7" s="180" t="s">
        <v>64</v>
      </c>
    </row>
    <row r="8" spans="1:17" ht="13.8" hidden="1">
      <c r="A8" s="4"/>
      <c r="B8" s="4"/>
      <c r="C8" s="536" t="s">
        <v>96</v>
      </c>
      <c r="D8" s="537"/>
      <c r="E8" s="537"/>
      <c r="F8" s="537"/>
      <c r="G8" s="538"/>
      <c r="H8" s="151">
        <v>35.209182782283222</v>
      </c>
      <c r="I8" s="151">
        <v>28.743025577043046</v>
      </c>
      <c r="J8" s="151">
        <v>8.4901809107922652</v>
      </c>
      <c r="K8" s="151">
        <v>27.557616968184657</v>
      </c>
      <c r="L8" s="154">
        <f>SUM(H8:K8)</f>
        <v>100.00000623830319</v>
      </c>
      <c r="M8" s="147">
        <f>H8</f>
        <v>35.209182782283222</v>
      </c>
      <c r="N8" s="147">
        <f>I8</f>
        <v>28.743025577043046</v>
      </c>
      <c r="O8" s="147">
        <f>J8</f>
        <v>8.4901809107922652</v>
      </c>
      <c r="P8" s="147">
        <f>K8</f>
        <v>27.557616968184657</v>
      </c>
      <c r="Q8" s="154">
        <f>SUM(M8:P8)</f>
        <v>100.00000623830319</v>
      </c>
    </row>
    <row r="9" spans="1:17" ht="14.7" customHeight="1">
      <c r="A9" s="128">
        <v>1</v>
      </c>
      <c r="B9" s="21">
        <v>2202</v>
      </c>
      <c r="C9" s="129" t="s">
        <v>73</v>
      </c>
      <c r="D9" s="129" t="s">
        <v>79</v>
      </c>
      <c r="E9" s="129" t="s">
        <v>82</v>
      </c>
      <c r="F9" s="129" t="s">
        <v>84</v>
      </c>
      <c r="G9" s="129" t="s">
        <v>115</v>
      </c>
      <c r="H9" s="181">
        <v>0</v>
      </c>
      <c r="I9" s="181">
        <v>0</v>
      </c>
      <c r="J9" s="181">
        <v>0</v>
      </c>
      <c r="K9" s="181">
        <v>0</v>
      </c>
      <c r="L9" s="182">
        <f>SUM(H9:K9)</f>
        <v>0</v>
      </c>
      <c r="M9" s="181">
        <v>0</v>
      </c>
      <c r="N9" s="195">
        <v>0</v>
      </c>
      <c r="O9" s="181">
        <v>0</v>
      </c>
      <c r="P9" s="181">
        <v>0</v>
      </c>
      <c r="Q9" s="196">
        <f>SUM(M9:P9)</f>
        <v>0</v>
      </c>
    </row>
    <row r="10" spans="1:17" ht="14.7" customHeight="1">
      <c r="A10" s="128">
        <v>2</v>
      </c>
      <c r="B10" s="21">
        <v>2202</v>
      </c>
      <c r="C10" s="129" t="s">
        <v>73</v>
      </c>
      <c r="D10" s="129" t="s">
        <v>79</v>
      </c>
      <c r="E10" s="129" t="s">
        <v>87</v>
      </c>
      <c r="F10" s="129" t="s">
        <v>83</v>
      </c>
      <c r="G10" s="129" t="s">
        <v>115</v>
      </c>
      <c r="H10" s="181">
        <v>0</v>
      </c>
      <c r="I10" s="181">
        <v>0</v>
      </c>
      <c r="J10" s="181">
        <v>0</v>
      </c>
      <c r="K10" s="181">
        <v>0</v>
      </c>
      <c r="L10" s="182">
        <f t="shared" ref="L10:L17" si="0">SUM(H10:K10)</f>
        <v>0</v>
      </c>
      <c r="M10" s="415">
        <v>271634</v>
      </c>
      <c r="N10" s="181">
        <v>0</v>
      </c>
      <c r="O10" s="181">
        <v>0</v>
      </c>
      <c r="P10" s="181">
        <v>0</v>
      </c>
      <c r="Q10" s="183">
        <f t="shared" ref="Q10:Q18" si="1">SUM(M10:P10)</f>
        <v>271634</v>
      </c>
    </row>
    <row r="11" spans="1:17" ht="14.7" customHeight="1">
      <c r="A11" s="128">
        <v>3</v>
      </c>
      <c r="B11" s="21">
        <v>2202</v>
      </c>
      <c r="C11" s="129" t="s">
        <v>73</v>
      </c>
      <c r="D11" s="129" t="s">
        <v>79</v>
      </c>
      <c r="E11" s="129" t="s">
        <v>87</v>
      </c>
      <c r="F11" s="129" t="s">
        <v>84</v>
      </c>
      <c r="G11" s="129" t="s">
        <v>115</v>
      </c>
      <c r="H11" s="181">
        <v>0</v>
      </c>
      <c r="I11" s="181">
        <v>0</v>
      </c>
      <c r="J11" s="181">
        <v>0</v>
      </c>
      <c r="K11" s="181">
        <v>0</v>
      </c>
      <c r="L11" s="182">
        <f t="shared" si="0"/>
        <v>0</v>
      </c>
      <c r="M11" s="181">
        <v>0</v>
      </c>
      <c r="N11" s="416">
        <v>199251</v>
      </c>
      <c r="O11" s="181">
        <v>0</v>
      </c>
      <c r="P11" s="181">
        <v>0</v>
      </c>
      <c r="Q11" s="183">
        <f t="shared" si="1"/>
        <v>199251</v>
      </c>
    </row>
    <row r="12" spans="1:17" ht="14.7" customHeight="1">
      <c r="A12" s="128">
        <v>4</v>
      </c>
      <c r="B12" s="21">
        <v>2202</v>
      </c>
      <c r="C12" s="129" t="s">
        <v>73</v>
      </c>
      <c r="D12" s="129" t="s">
        <v>79</v>
      </c>
      <c r="E12" s="129" t="s">
        <v>87</v>
      </c>
      <c r="F12" s="129" t="s">
        <v>85</v>
      </c>
      <c r="G12" s="129" t="s">
        <v>115</v>
      </c>
      <c r="H12" s="181">
        <v>0</v>
      </c>
      <c r="I12" s="181">
        <v>0</v>
      </c>
      <c r="J12" s="181">
        <v>0</v>
      </c>
      <c r="K12" s="181">
        <v>0</v>
      </c>
      <c r="L12" s="182">
        <f t="shared" si="0"/>
        <v>0</v>
      </c>
      <c r="M12" s="181">
        <v>0</v>
      </c>
      <c r="N12" s="181">
        <v>0</v>
      </c>
      <c r="O12" s="417">
        <v>67707</v>
      </c>
      <c r="P12" s="181">
        <v>0</v>
      </c>
      <c r="Q12" s="183">
        <f t="shared" si="1"/>
        <v>67707</v>
      </c>
    </row>
    <row r="13" spans="1:17" ht="14.7" customHeight="1">
      <c r="A13" s="128">
        <v>5</v>
      </c>
      <c r="B13" s="21">
        <v>2202</v>
      </c>
      <c r="C13" s="129" t="s">
        <v>73</v>
      </c>
      <c r="D13" s="129" t="s">
        <v>79</v>
      </c>
      <c r="E13" s="129" t="s">
        <v>87</v>
      </c>
      <c r="F13" s="129" t="s">
        <v>86</v>
      </c>
      <c r="G13" s="129" t="s">
        <v>115</v>
      </c>
      <c r="H13" s="181">
        <v>0</v>
      </c>
      <c r="I13" s="181">
        <v>0</v>
      </c>
      <c r="J13" s="181">
        <v>0</v>
      </c>
      <c r="K13" s="181">
        <v>0</v>
      </c>
      <c r="L13" s="182">
        <f t="shared" si="0"/>
        <v>0</v>
      </c>
      <c r="M13" s="181">
        <v>0</v>
      </c>
      <c r="N13" s="181">
        <v>0</v>
      </c>
      <c r="O13" s="181">
        <v>0</v>
      </c>
      <c r="P13" s="418">
        <v>191775</v>
      </c>
      <c r="Q13" s="183">
        <f t="shared" si="1"/>
        <v>191775</v>
      </c>
    </row>
    <row r="14" spans="1:17" ht="14.7" customHeight="1">
      <c r="A14" s="128">
        <v>6</v>
      </c>
      <c r="B14" s="21">
        <v>2202</v>
      </c>
      <c r="C14" s="129" t="s">
        <v>73</v>
      </c>
      <c r="D14" s="129" t="s">
        <v>79</v>
      </c>
      <c r="E14" s="129">
        <v>63</v>
      </c>
      <c r="F14" s="129" t="s">
        <v>83</v>
      </c>
      <c r="G14" s="129" t="s">
        <v>115</v>
      </c>
      <c r="H14" s="181">
        <v>0</v>
      </c>
      <c r="I14" s="181">
        <v>0</v>
      </c>
      <c r="J14" s="181">
        <v>0</v>
      </c>
      <c r="K14" s="181">
        <v>0</v>
      </c>
      <c r="L14" s="182">
        <f t="shared" si="0"/>
        <v>0</v>
      </c>
      <c r="M14" s="419">
        <v>334576</v>
      </c>
      <c r="N14" s="181">
        <v>0</v>
      </c>
      <c r="O14" s="181">
        <v>0</v>
      </c>
      <c r="P14" s="181">
        <v>0</v>
      </c>
      <c r="Q14" s="183">
        <f t="shared" si="1"/>
        <v>334576</v>
      </c>
    </row>
    <row r="15" spans="1:17" ht="14.7" customHeight="1">
      <c r="A15" s="128">
        <v>7</v>
      </c>
      <c r="B15" s="21">
        <v>2202</v>
      </c>
      <c r="C15" s="129" t="s">
        <v>73</v>
      </c>
      <c r="D15" s="129" t="s">
        <v>79</v>
      </c>
      <c r="E15" s="129">
        <v>63</v>
      </c>
      <c r="F15" s="129" t="s">
        <v>84</v>
      </c>
      <c r="G15" s="129" t="s">
        <v>115</v>
      </c>
      <c r="H15" s="181">
        <v>0</v>
      </c>
      <c r="I15" s="181">
        <v>0</v>
      </c>
      <c r="J15" s="181">
        <v>0</v>
      </c>
      <c r="K15" s="181">
        <v>0</v>
      </c>
      <c r="L15" s="182">
        <f t="shared" si="0"/>
        <v>0</v>
      </c>
      <c r="M15" s="181">
        <v>0</v>
      </c>
      <c r="N15" s="420">
        <v>112087</v>
      </c>
      <c r="O15" s="181">
        <v>0</v>
      </c>
      <c r="P15" s="181">
        <v>0</v>
      </c>
      <c r="Q15" s="183">
        <f t="shared" si="1"/>
        <v>112087</v>
      </c>
    </row>
    <row r="16" spans="1:17" ht="14.7" customHeight="1">
      <c r="A16" s="128">
        <v>8</v>
      </c>
      <c r="B16" s="21">
        <v>2202</v>
      </c>
      <c r="C16" s="129" t="s">
        <v>73</v>
      </c>
      <c r="D16" s="129" t="s">
        <v>79</v>
      </c>
      <c r="E16" s="129">
        <v>63</v>
      </c>
      <c r="F16" s="129" t="s">
        <v>85</v>
      </c>
      <c r="G16" s="129" t="s">
        <v>115</v>
      </c>
      <c r="H16" s="181">
        <v>0</v>
      </c>
      <c r="I16" s="181">
        <v>0</v>
      </c>
      <c r="J16" s="181">
        <v>0</v>
      </c>
      <c r="K16" s="181">
        <v>0</v>
      </c>
      <c r="L16" s="182">
        <f t="shared" si="0"/>
        <v>0</v>
      </c>
      <c r="M16" s="181">
        <v>0</v>
      </c>
      <c r="N16" s="181">
        <v>0</v>
      </c>
      <c r="O16" s="421">
        <v>53903</v>
      </c>
      <c r="P16" s="181">
        <v>0</v>
      </c>
      <c r="Q16" s="183">
        <f t="shared" si="1"/>
        <v>53903</v>
      </c>
    </row>
    <row r="17" spans="1:18" ht="14.7" customHeight="1">
      <c r="A17" s="128">
        <v>9</v>
      </c>
      <c r="B17" s="21">
        <v>2202</v>
      </c>
      <c r="C17" s="129" t="s">
        <v>73</v>
      </c>
      <c r="D17" s="129" t="s">
        <v>79</v>
      </c>
      <c r="E17" s="129">
        <v>63</v>
      </c>
      <c r="F17" s="129" t="s">
        <v>86</v>
      </c>
      <c r="G17" s="129" t="s">
        <v>115</v>
      </c>
      <c r="H17" s="181">
        <v>0</v>
      </c>
      <c r="I17" s="181">
        <v>0</v>
      </c>
      <c r="J17" s="181">
        <v>0</v>
      </c>
      <c r="K17" s="181">
        <v>0</v>
      </c>
      <c r="L17" s="182">
        <f t="shared" si="0"/>
        <v>0</v>
      </c>
      <c r="M17" s="181">
        <v>0</v>
      </c>
      <c r="N17" s="181">
        <v>0</v>
      </c>
      <c r="O17" s="181">
        <v>0</v>
      </c>
      <c r="P17" s="422">
        <v>192150</v>
      </c>
      <c r="Q17" s="183">
        <f t="shared" si="1"/>
        <v>192150</v>
      </c>
    </row>
    <row r="18" spans="1:18" ht="14.7" customHeight="1">
      <c r="A18" s="128">
        <v>10</v>
      </c>
      <c r="B18" s="21">
        <v>3604</v>
      </c>
      <c r="C18" s="130" t="s">
        <v>74</v>
      </c>
      <c r="D18" s="130" t="s">
        <v>80</v>
      </c>
      <c r="E18" s="130" t="s">
        <v>215</v>
      </c>
      <c r="F18" s="130" t="s">
        <v>216</v>
      </c>
      <c r="G18" s="130" t="s">
        <v>88</v>
      </c>
      <c r="H18" s="431">
        <f>ROUND($L18*35%,0)</f>
        <v>20892</v>
      </c>
      <c r="I18" s="431">
        <f>ROUND($L18*29%,0)</f>
        <v>17310</v>
      </c>
      <c r="J18" s="431">
        <f>ROUND($L18*8%,0)</f>
        <v>4775</v>
      </c>
      <c r="K18" s="431">
        <f>ROUND($L18*28%,0)+1</f>
        <v>16714</v>
      </c>
      <c r="L18" s="423">
        <v>59691</v>
      </c>
      <c r="M18" s="181">
        <v>0</v>
      </c>
      <c r="N18" s="181">
        <v>0</v>
      </c>
      <c r="O18" s="181">
        <v>0</v>
      </c>
      <c r="P18" s="181">
        <v>0</v>
      </c>
      <c r="Q18" s="193">
        <f t="shared" si="1"/>
        <v>0</v>
      </c>
    </row>
    <row r="19" spans="1:18" ht="14.7" customHeight="1">
      <c r="A19" s="128">
        <v>11</v>
      </c>
      <c r="B19" s="21">
        <v>3604</v>
      </c>
      <c r="C19" s="130" t="s">
        <v>74</v>
      </c>
      <c r="D19" s="130" t="s">
        <v>80</v>
      </c>
      <c r="E19" s="130" t="s">
        <v>215</v>
      </c>
      <c r="F19" s="130" t="s">
        <v>216</v>
      </c>
      <c r="G19" s="130" t="s">
        <v>102</v>
      </c>
      <c r="H19" s="181">
        <v>0</v>
      </c>
      <c r="I19" s="181">
        <v>0</v>
      </c>
      <c r="J19" s="181">
        <v>0</v>
      </c>
      <c r="K19" s="181">
        <v>0</v>
      </c>
      <c r="L19" s="182">
        <v>0</v>
      </c>
      <c r="M19" s="192">
        <f>ROUND($Q19*35%,0)</f>
        <v>48748</v>
      </c>
      <c r="N19" s="192">
        <f>ROUND($Q19*29%,0)</f>
        <v>40391</v>
      </c>
      <c r="O19" s="192">
        <f>ROUND($Q19*8%,0)</f>
        <v>11142</v>
      </c>
      <c r="P19" s="192">
        <f>ROUND($Q19*28%,0)+1</f>
        <v>38999</v>
      </c>
      <c r="Q19" s="424">
        <v>139280</v>
      </c>
    </row>
    <row r="20" spans="1:18" ht="14.7" customHeight="1">
      <c r="A20" s="128">
        <v>12</v>
      </c>
      <c r="B20" s="21">
        <v>3604</v>
      </c>
      <c r="C20" s="130" t="s">
        <v>74</v>
      </c>
      <c r="D20" s="130" t="s">
        <v>80</v>
      </c>
      <c r="E20" s="130" t="s">
        <v>217</v>
      </c>
      <c r="F20" s="130" t="s">
        <v>133</v>
      </c>
      <c r="G20" s="130" t="s">
        <v>102</v>
      </c>
      <c r="H20" s="181">
        <v>0</v>
      </c>
      <c r="I20" s="181">
        <v>0</v>
      </c>
      <c r="J20" s="181">
        <v>0</v>
      </c>
      <c r="K20" s="181">
        <v>0</v>
      </c>
      <c r="L20" s="182">
        <f>SUM(H20:K20)</f>
        <v>0</v>
      </c>
      <c r="M20" s="192">
        <f t="shared" ref="M20:M25" si="2">ROUND($Q20*35%,0)</f>
        <v>140315</v>
      </c>
      <c r="N20" s="192">
        <f t="shared" ref="N20:N25" si="3">ROUND($Q20*29%,0)</f>
        <v>116261</v>
      </c>
      <c r="O20" s="192">
        <f t="shared" ref="O20:O25" si="4">ROUND($Q20*8%,0)</f>
        <v>32072</v>
      </c>
      <c r="P20" s="192">
        <f t="shared" ref="P20:P21" si="5">ROUND($Q20*28%,0)</f>
        <v>112252</v>
      </c>
      <c r="Q20" s="424">
        <v>400900</v>
      </c>
    </row>
    <row r="21" spans="1:18" ht="14.7" customHeight="1">
      <c r="A21" s="128">
        <v>13</v>
      </c>
      <c r="B21" s="21">
        <v>3604</v>
      </c>
      <c r="C21" s="130" t="s">
        <v>74</v>
      </c>
      <c r="D21" s="130" t="s">
        <v>80</v>
      </c>
      <c r="E21" s="130" t="s">
        <v>225</v>
      </c>
      <c r="F21" s="130" t="s">
        <v>226</v>
      </c>
      <c r="G21" s="130" t="s">
        <v>102</v>
      </c>
      <c r="H21" s="181">
        <v>0</v>
      </c>
      <c r="I21" s="181">
        <v>0</v>
      </c>
      <c r="J21" s="430">
        <v>0</v>
      </c>
      <c r="K21" s="181">
        <v>0</v>
      </c>
      <c r="L21" s="182">
        <f>SUM(H21:K21)</f>
        <v>0</v>
      </c>
      <c r="M21" s="192">
        <f t="shared" si="2"/>
        <v>17150</v>
      </c>
      <c r="N21" s="192">
        <f t="shared" si="3"/>
        <v>14210</v>
      </c>
      <c r="O21" s="192">
        <f t="shared" si="4"/>
        <v>3920</v>
      </c>
      <c r="P21" s="192">
        <f t="shared" si="5"/>
        <v>13720</v>
      </c>
      <c r="Q21" s="424">
        <v>49000</v>
      </c>
    </row>
    <row r="22" spans="1:18" ht="14.7" customHeight="1">
      <c r="A22" s="128">
        <v>14</v>
      </c>
      <c r="B22" s="21">
        <v>3604</v>
      </c>
      <c r="C22" s="130" t="s">
        <v>74</v>
      </c>
      <c r="D22" s="130" t="s">
        <v>80</v>
      </c>
      <c r="E22" s="130" t="s">
        <v>231</v>
      </c>
      <c r="F22" s="130" t="s">
        <v>216</v>
      </c>
      <c r="G22" s="130" t="s">
        <v>88</v>
      </c>
      <c r="H22" s="192">
        <f>ROUND($L22*35%,0)</f>
        <v>8611</v>
      </c>
      <c r="I22" s="192">
        <f>ROUND($L22*29%,0)</f>
        <v>7135</v>
      </c>
      <c r="J22" s="192">
        <f>ROUND($L22*8%,0)</f>
        <v>1968</v>
      </c>
      <c r="K22" s="192">
        <f>ROUND($L22*28%,0)</f>
        <v>6889</v>
      </c>
      <c r="L22" s="425">
        <v>24603</v>
      </c>
      <c r="M22" s="192"/>
      <c r="N22" s="192"/>
      <c r="O22" s="192"/>
      <c r="P22" s="192"/>
      <c r="Q22" s="132"/>
    </row>
    <row r="23" spans="1:18" ht="14.7" customHeight="1">
      <c r="A23" s="128">
        <v>15</v>
      </c>
      <c r="B23" s="21">
        <v>3604</v>
      </c>
      <c r="C23" s="130" t="s">
        <v>74</v>
      </c>
      <c r="D23" s="130" t="s">
        <v>80</v>
      </c>
      <c r="E23" s="130" t="s">
        <v>231</v>
      </c>
      <c r="F23" s="130" t="s">
        <v>216</v>
      </c>
      <c r="G23" s="130" t="s">
        <v>102</v>
      </c>
      <c r="H23" s="181"/>
      <c r="I23" s="181"/>
      <c r="J23" s="181"/>
      <c r="K23" s="181"/>
      <c r="L23" s="182"/>
      <c r="M23" s="192">
        <f t="shared" si="2"/>
        <v>18116</v>
      </c>
      <c r="N23" s="192">
        <f t="shared" si="3"/>
        <v>15010</v>
      </c>
      <c r="O23" s="192">
        <f t="shared" si="4"/>
        <v>4141</v>
      </c>
      <c r="P23" s="192">
        <f>ROUND($Q23*28%,0)-1</f>
        <v>14492</v>
      </c>
      <c r="Q23" s="424">
        <v>51759</v>
      </c>
    </row>
    <row r="24" spans="1:18" ht="14.7" customHeight="1">
      <c r="A24" s="128">
        <v>16</v>
      </c>
      <c r="B24" s="21">
        <v>3604</v>
      </c>
      <c r="C24" s="130" t="s">
        <v>74</v>
      </c>
      <c r="D24" s="130" t="s">
        <v>80</v>
      </c>
      <c r="E24" s="130" t="s">
        <v>231</v>
      </c>
      <c r="F24" s="130" t="s">
        <v>226</v>
      </c>
      <c r="G24" s="130" t="s">
        <v>88</v>
      </c>
      <c r="H24" s="192">
        <f>ROUND($L24*35%,0)</f>
        <v>3690</v>
      </c>
      <c r="I24" s="192">
        <f>ROUND($L24*29%,0)</f>
        <v>3058</v>
      </c>
      <c r="J24" s="192">
        <f>ROUND($L24*8%,0)</f>
        <v>844</v>
      </c>
      <c r="K24" s="192">
        <f>ROUND($L24*28%,0)</f>
        <v>2952</v>
      </c>
      <c r="L24" s="425">
        <v>10544</v>
      </c>
      <c r="M24" s="192"/>
      <c r="N24" s="192"/>
      <c r="O24" s="192"/>
      <c r="P24" s="192"/>
      <c r="Q24" s="132"/>
    </row>
    <row r="25" spans="1:18" ht="14.7" customHeight="1">
      <c r="A25" s="128">
        <v>17</v>
      </c>
      <c r="B25" s="21">
        <v>3604</v>
      </c>
      <c r="C25" s="130" t="s">
        <v>74</v>
      </c>
      <c r="D25" s="130" t="s">
        <v>80</v>
      </c>
      <c r="E25" s="130" t="s">
        <v>231</v>
      </c>
      <c r="F25" s="130" t="s">
        <v>226</v>
      </c>
      <c r="G25" s="130" t="s">
        <v>102</v>
      </c>
      <c r="H25" s="192"/>
      <c r="I25" s="192"/>
      <c r="J25" s="192"/>
      <c r="K25" s="192"/>
      <c r="L25" s="194"/>
      <c r="M25" s="192">
        <f t="shared" si="2"/>
        <v>7764</v>
      </c>
      <c r="N25" s="192">
        <f t="shared" si="3"/>
        <v>6433</v>
      </c>
      <c r="O25" s="192">
        <f t="shared" si="4"/>
        <v>1775</v>
      </c>
      <c r="P25" s="192">
        <f>ROUND($Q25*28%,0)-1</f>
        <v>6210</v>
      </c>
      <c r="Q25" s="424">
        <v>22182</v>
      </c>
    </row>
    <row r="26" spans="1:18" ht="14.1" customHeight="1">
      <c r="A26" s="530" t="s">
        <v>64</v>
      </c>
      <c r="B26" s="530"/>
      <c r="C26" s="530"/>
      <c r="D26" s="530"/>
      <c r="E26" s="530"/>
      <c r="F26" s="530"/>
      <c r="G26" s="530"/>
      <c r="H26" s="19">
        <f>SUM(H9:H25)</f>
        <v>33193</v>
      </c>
      <c r="I26" s="19">
        <f>SUM(I9:I25)</f>
        <v>27503</v>
      </c>
      <c r="J26" s="19">
        <f>SUM(J9:J25)</f>
        <v>7587</v>
      </c>
      <c r="K26" s="19">
        <f t="shared" ref="K26:Q26" si="6">SUM(K9:K25)</f>
        <v>26555</v>
      </c>
      <c r="L26" s="19">
        <f t="shared" si="6"/>
        <v>94838</v>
      </c>
      <c r="M26" s="19">
        <f t="shared" si="6"/>
        <v>838303</v>
      </c>
      <c r="N26" s="19">
        <f t="shared" si="6"/>
        <v>503643</v>
      </c>
      <c r="O26" s="19">
        <f t="shared" si="6"/>
        <v>174660</v>
      </c>
      <c r="P26" s="19">
        <f t="shared" si="6"/>
        <v>569598</v>
      </c>
      <c r="Q26" s="19">
        <f t="shared" si="6"/>
        <v>2086204</v>
      </c>
    </row>
    <row r="27" spans="1:18" ht="8.25" customHeight="1">
      <c r="A27" s="27"/>
      <c r="B27" s="28"/>
      <c r="C27" s="29"/>
      <c r="D27" s="29"/>
      <c r="E27" s="30"/>
      <c r="F27" s="30"/>
      <c r="G27" s="30"/>
      <c r="H27" s="31"/>
      <c r="I27" s="32"/>
      <c r="J27" s="32"/>
      <c r="K27" s="32"/>
      <c r="L27" s="32"/>
      <c r="M27" s="32"/>
      <c r="N27" s="33"/>
      <c r="O27" s="33"/>
      <c r="P27" s="33"/>
      <c r="Q27" s="33"/>
    </row>
    <row r="28" spans="1:18">
      <c r="A28" s="5" t="s">
        <v>138</v>
      </c>
      <c r="B28" s="6"/>
      <c r="C28" s="518" t="s">
        <v>139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34"/>
    </row>
    <row r="29" spans="1:18">
      <c r="C29" s="14"/>
      <c r="D29" s="14"/>
      <c r="E29" s="15"/>
      <c r="F29" s="15"/>
      <c r="G29" s="15"/>
      <c r="H29" s="16"/>
    </row>
    <row r="30" spans="1:18" ht="15.6">
      <c r="C30" s="14"/>
      <c r="D30" s="14"/>
      <c r="E30" s="15"/>
      <c r="F30" s="15"/>
      <c r="G30" s="15"/>
      <c r="H30" s="142">
        <v>111.68</v>
      </c>
      <c r="I30" s="143">
        <v>91.17</v>
      </c>
      <c r="J30" s="143">
        <v>26.93</v>
      </c>
      <c r="K30" s="143">
        <v>87.41</v>
      </c>
      <c r="L30" s="150">
        <f>SUM(H30:K30)</f>
        <v>317.19000000000005</v>
      </c>
      <c r="M30" s="164">
        <v>229.2</v>
      </c>
      <c r="N30" s="165">
        <v>195.85</v>
      </c>
      <c r="O30" s="166">
        <v>68.3</v>
      </c>
      <c r="P30" s="166">
        <v>187.46</v>
      </c>
      <c r="Q30" s="167">
        <f>SUM(M30:P30)</f>
        <v>680.81</v>
      </c>
    </row>
    <row r="31" spans="1:18" ht="13.8">
      <c r="C31" s="14"/>
      <c r="D31" s="14"/>
      <c r="E31" s="15"/>
      <c r="F31" s="15"/>
      <c r="G31" s="15"/>
      <c r="H31" s="151">
        <f>ROUND(H30/$L$30*$L$31,2)</f>
        <v>9429.3700000000008</v>
      </c>
      <c r="I31" s="151">
        <f>ROUND(I30/$L$30*$L$31,2)</f>
        <v>7697.67</v>
      </c>
      <c r="J31" s="151">
        <f>ROUND(J30/$L$30*$L$31,2)</f>
        <v>2273.75</v>
      </c>
      <c r="K31" s="151">
        <f>ROUND(K30/$L$30*$L$31,2)</f>
        <v>7380.2</v>
      </c>
      <c r="L31" s="131">
        <v>26781</v>
      </c>
      <c r="M31" s="168">
        <f>ROUND(M30/$Q$30*$Q$31,2)</f>
        <v>53966.25</v>
      </c>
      <c r="N31" s="168">
        <f>ROUND(N30/$Q$30*$Q$31,2)</f>
        <v>46113.83</v>
      </c>
      <c r="O31" s="168">
        <f>ROUND(O30/$Q$30*$Q$31,2)</f>
        <v>16081.56</v>
      </c>
      <c r="P31" s="168">
        <f>ROUND(P30/$Q$30*$Q$31,2)</f>
        <v>44138.36</v>
      </c>
      <c r="Q31" s="132">
        <v>160300</v>
      </c>
    </row>
    <row r="32" spans="1:18" ht="13.8">
      <c r="C32" s="14"/>
      <c r="D32" s="14"/>
      <c r="E32" s="15"/>
      <c r="F32" s="15"/>
      <c r="G32" s="15"/>
      <c r="H32" s="151">
        <f>H31/$L$31*100</f>
        <v>35.209178148687506</v>
      </c>
      <c r="I32" s="151">
        <f>I31/$L$31*100</f>
        <v>28.743026772712</v>
      </c>
      <c r="J32" s="151">
        <f>J31/$L$31*100</f>
        <v>8.4901609349912253</v>
      </c>
      <c r="K32" s="151">
        <f>K31/$L$31*100</f>
        <v>27.557596803704115</v>
      </c>
      <c r="L32" s="32">
        <f>SUM(H32:K32)</f>
        <v>99.999962660094852</v>
      </c>
      <c r="M32" s="168">
        <f>M31/$Q$31*100</f>
        <v>33.665782907049284</v>
      </c>
      <c r="N32" s="168">
        <f>N31/$Q$31*100</f>
        <v>28.767205240174675</v>
      </c>
      <c r="O32" s="168">
        <f>O31/$Q$31*100</f>
        <v>10.032164691203992</v>
      </c>
      <c r="P32" s="168">
        <f>P31/$Q$31*100</f>
        <v>27.534847161572053</v>
      </c>
      <c r="Q32" s="166">
        <f>SUM(M32:P32)</f>
        <v>100</v>
      </c>
    </row>
    <row r="33" spans="1:12" ht="18">
      <c r="C33" s="14"/>
      <c r="D33" s="14"/>
      <c r="E33" s="15"/>
      <c r="F33" s="15"/>
      <c r="G33" s="15"/>
      <c r="H33" s="149"/>
      <c r="I33" s="148"/>
      <c r="J33" s="148"/>
      <c r="K33" s="148"/>
      <c r="L33" s="148"/>
    </row>
    <row r="34" spans="1:12">
      <c r="C34" s="14"/>
      <c r="D34" s="14"/>
      <c r="E34" s="15"/>
      <c r="F34" s="15"/>
      <c r="G34" s="15"/>
      <c r="H34" s="16"/>
    </row>
    <row r="35" spans="1:12">
      <c r="A35" s="153" t="s">
        <v>218</v>
      </c>
      <c r="C35" s="14"/>
      <c r="D35" s="14"/>
      <c r="E35" s="15"/>
      <c r="F35" s="15"/>
      <c r="G35" s="15"/>
      <c r="H35" s="16"/>
    </row>
    <row r="36" spans="1:12">
      <c r="C36" s="14"/>
      <c r="D36" s="14"/>
      <c r="E36" s="15"/>
      <c r="F36" s="15"/>
      <c r="G36" s="15"/>
      <c r="H36" s="16"/>
    </row>
    <row r="37" spans="1:12">
      <c r="C37" s="14"/>
      <c r="D37" s="14"/>
      <c r="E37" s="15"/>
      <c r="F37" s="15"/>
      <c r="G37" s="15"/>
      <c r="H37" s="16"/>
    </row>
    <row r="38" spans="1:12">
      <c r="C38" s="14"/>
      <c r="D38" s="14"/>
      <c r="E38" s="15"/>
      <c r="F38" s="15"/>
      <c r="G38" s="15"/>
      <c r="H38" s="16"/>
    </row>
    <row r="39" spans="1:12">
      <c r="C39" s="14"/>
      <c r="D39" s="14"/>
      <c r="E39" s="15"/>
      <c r="F39" s="15"/>
      <c r="G39" s="15"/>
      <c r="H39" s="16"/>
    </row>
    <row r="40" spans="1:12">
      <c r="C40" s="14"/>
      <c r="D40" s="14"/>
      <c r="E40" s="15"/>
      <c r="F40" s="15"/>
      <c r="G40" s="15"/>
      <c r="H40" s="16"/>
    </row>
    <row r="41" spans="1:12">
      <c r="C41" s="14"/>
      <c r="D41" s="14"/>
      <c r="E41" s="15"/>
      <c r="F41" s="15"/>
      <c r="G41" s="15"/>
      <c r="H41" s="16"/>
    </row>
    <row r="42" spans="1:12">
      <c r="C42" s="14"/>
      <c r="D42" s="14"/>
      <c r="E42" s="15"/>
      <c r="F42" s="15"/>
      <c r="G42" s="15"/>
      <c r="H42" s="16"/>
    </row>
    <row r="43" spans="1:12">
      <c r="C43" s="14"/>
      <c r="D43" s="14"/>
      <c r="E43" s="15"/>
      <c r="F43" s="15"/>
      <c r="G43" s="15"/>
      <c r="H43" s="16"/>
    </row>
    <row r="44" spans="1:12">
      <c r="C44" s="14"/>
      <c r="D44" s="14"/>
      <c r="E44" s="15"/>
      <c r="F44" s="15"/>
      <c r="G44" s="15"/>
      <c r="H44" s="16"/>
    </row>
    <row r="45" spans="1:12">
      <c r="C45" s="14"/>
      <c r="D45" s="14"/>
      <c r="E45" s="15"/>
      <c r="F45" s="15"/>
      <c r="G45" s="15"/>
      <c r="H45" s="16"/>
    </row>
    <row r="46" spans="1:12">
      <c r="C46" s="14"/>
      <c r="D46" s="14"/>
      <c r="E46" s="15"/>
      <c r="F46" s="15"/>
      <c r="G46" s="15"/>
      <c r="H46" s="16"/>
    </row>
    <row r="47" spans="1:12">
      <c r="C47" s="14"/>
      <c r="D47" s="14"/>
      <c r="E47" s="15"/>
      <c r="F47" s="15"/>
      <c r="G47" s="15"/>
      <c r="H47" s="16"/>
    </row>
    <row r="48" spans="1:12">
      <c r="C48" s="14"/>
      <c r="D48" s="14"/>
      <c r="E48" s="15"/>
      <c r="F48" s="15"/>
      <c r="G48" s="15"/>
      <c r="H48" s="16"/>
    </row>
    <row r="49" spans="3:8">
      <c r="C49" s="14"/>
      <c r="D49" s="14"/>
      <c r="E49" s="15"/>
      <c r="F49" s="15"/>
      <c r="G49" s="15"/>
      <c r="H49" s="16"/>
    </row>
    <row r="50" spans="3:8">
      <c r="C50" s="14"/>
      <c r="D50" s="14"/>
      <c r="E50" s="15"/>
      <c r="F50" s="15"/>
      <c r="G50" s="15"/>
      <c r="H50" s="16"/>
    </row>
    <row r="51" spans="3:8">
      <c r="C51" s="14"/>
      <c r="D51" s="14"/>
      <c r="E51" s="15"/>
      <c r="F51" s="15"/>
      <c r="G51" s="15"/>
      <c r="H51" s="16"/>
    </row>
    <row r="52" spans="3:8">
      <c r="C52" s="14"/>
      <c r="D52" s="14"/>
      <c r="E52" s="15"/>
      <c r="F52" s="15"/>
      <c r="G52" s="15"/>
      <c r="H52" s="16"/>
    </row>
    <row r="53" spans="3:8">
      <c r="C53" s="14"/>
      <c r="D53" s="14"/>
      <c r="E53" s="15"/>
      <c r="F53" s="15"/>
      <c r="G53" s="15"/>
      <c r="H53" s="16"/>
    </row>
    <row r="54" spans="3:8">
      <c r="C54" s="14"/>
      <c r="D54" s="14"/>
      <c r="E54" s="15"/>
      <c r="F54" s="15"/>
      <c r="G54" s="15"/>
      <c r="H54" s="16"/>
    </row>
    <row r="55" spans="3:8">
      <c r="C55" s="14"/>
      <c r="D55" s="14"/>
      <c r="E55" s="15"/>
      <c r="F55" s="15"/>
      <c r="G55" s="15"/>
      <c r="H55" s="16"/>
    </row>
    <row r="56" spans="3:8">
      <c r="C56" s="14"/>
      <c r="D56" s="14"/>
      <c r="E56" s="15"/>
      <c r="F56" s="15"/>
      <c r="G56" s="15"/>
      <c r="H56" s="16"/>
    </row>
    <row r="57" spans="3:8">
      <c r="C57" s="14"/>
      <c r="D57" s="14"/>
      <c r="E57" s="15"/>
      <c r="F57" s="15"/>
      <c r="G57" s="15"/>
      <c r="H57" s="16"/>
    </row>
    <row r="58" spans="3:8">
      <c r="C58" s="14"/>
      <c r="D58" s="14"/>
      <c r="E58" s="15"/>
      <c r="F58" s="15"/>
      <c r="G58" s="15"/>
      <c r="H58" s="16"/>
    </row>
    <row r="59" spans="3:8">
      <c r="C59" s="14"/>
      <c r="D59" s="14"/>
      <c r="E59" s="15"/>
      <c r="F59" s="15"/>
      <c r="G59" s="15"/>
      <c r="H59" s="16"/>
    </row>
    <row r="60" spans="3:8">
      <c r="C60" s="14"/>
      <c r="D60" s="14"/>
      <c r="E60" s="15"/>
      <c r="F60" s="15"/>
      <c r="G60" s="15"/>
      <c r="H60" s="16"/>
    </row>
    <row r="61" spans="3:8">
      <c r="C61" s="14"/>
      <c r="D61" s="14"/>
      <c r="E61" s="15"/>
      <c r="F61" s="15"/>
      <c r="G61" s="15"/>
      <c r="H61" s="16"/>
    </row>
    <row r="62" spans="3:8">
      <c r="C62" s="14"/>
      <c r="D62" s="14"/>
      <c r="E62" s="15"/>
      <c r="F62" s="15"/>
      <c r="G62" s="15"/>
      <c r="H62" s="16"/>
    </row>
    <row r="63" spans="3:8">
      <c r="C63" s="14"/>
      <c r="D63" s="14"/>
      <c r="E63" s="15"/>
      <c r="F63" s="15"/>
      <c r="G63" s="15"/>
      <c r="H63" s="16"/>
    </row>
    <row r="64" spans="3:8">
      <c r="C64" s="14"/>
      <c r="D64" s="14"/>
      <c r="E64" s="15"/>
      <c r="F64" s="15"/>
      <c r="G64" s="15"/>
      <c r="H64" s="16"/>
    </row>
    <row r="65" spans="3:8">
      <c r="C65" s="14"/>
      <c r="D65" s="14"/>
      <c r="E65" s="15"/>
      <c r="F65" s="15"/>
      <c r="G65" s="15"/>
      <c r="H65" s="16"/>
    </row>
    <row r="66" spans="3:8">
      <c r="C66" s="14"/>
      <c r="D66" s="14"/>
      <c r="E66" s="15"/>
      <c r="F66" s="15"/>
      <c r="G66" s="15"/>
      <c r="H66" s="16"/>
    </row>
    <row r="67" spans="3:8">
      <c r="C67" s="14"/>
      <c r="D67" s="14"/>
      <c r="E67" s="15"/>
      <c r="F67" s="15"/>
      <c r="G67" s="15"/>
      <c r="H67" s="16"/>
    </row>
    <row r="68" spans="3:8">
      <c r="C68" s="14"/>
      <c r="D68" s="14"/>
      <c r="E68" s="15"/>
      <c r="F68" s="15"/>
      <c r="G68" s="15"/>
      <c r="H68" s="16"/>
    </row>
    <row r="69" spans="3:8">
      <c r="C69" s="14"/>
      <c r="D69" s="14"/>
      <c r="E69" s="15"/>
      <c r="F69" s="15"/>
      <c r="G69" s="15"/>
      <c r="H69" s="16"/>
    </row>
    <row r="70" spans="3:8">
      <c r="C70" s="14"/>
      <c r="D70" s="14"/>
      <c r="E70" s="15"/>
      <c r="F70" s="15"/>
      <c r="G70" s="15"/>
      <c r="H70" s="16"/>
    </row>
    <row r="71" spans="3:8">
      <c r="C71" s="14"/>
      <c r="D71" s="14"/>
      <c r="E71" s="15"/>
      <c r="F71" s="15"/>
      <c r="G71" s="15"/>
      <c r="H71" s="16"/>
    </row>
    <row r="72" spans="3:8">
      <c r="C72" s="14"/>
      <c r="D72" s="14"/>
      <c r="E72" s="15"/>
      <c r="F72" s="15"/>
      <c r="G72" s="15"/>
      <c r="H72" s="16"/>
    </row>
    <row r="73" spans="3:8">
      <c r="C73" s="14"/>
      <c r="D73" s="14"/>
      <c r="E73" s="15"/>
      <c r="F73" s="15"/>
      <c r="G73" s="15"/>
      <c r="H73" s="16"/>
    </row>
    <row r="74" spans="3:8">
      <c r="C74" s="14"/>
      <c r="D74" s="14"/>
      <c r="E74" s="15"/>
      <c r="F74" s="15"/>
      <c r="G74" s="15"/>
      <c r="H74" s="16"/>
    </row>
    <row r="75" spans="3:8">
      <c r="C75" s="14"/>
      <c r="D75" s="14"/>
      <c r="E75" s="15"/>
      <c r="F75" s="15"/>
      <c r="G75" s="15"/>
      <c r="H75" s="16"/>
    </row>
    <row r="76" spans="3:8">
      <c r="C76" s="14"/>
      <c r="D76" s="14"/>
      <c r="E76" s="15"/>
      <c r="F76" s="15"/>
      <c r="G76" s="15"/>
      <c r="H76" s="16"/>
    </row>
    <row r="77" spans="3:8">
      <c r="C77" s="14"/>
      <c r="D77" s="14"/>
      <c r="E77" s="15"/>
      <c r="F77" s="15"/>
      <c r="G77" s="15"/>
      <c r="H77" s="16"/>
    </row>
    <row r="78" spans="3:8">
      <c r="C78" s="14"/>
      <c r="D78" s="14"/>
      <c r="E78" s="15"/>
      <c r="F78" s="15"/>
      <c r="G78" s="15"/>
      <c r="H78" s="16"/>
    </row>
    <row r="79" spans="3:8">
      <c r="C79" s="14"/>
      <c r="D79" s="14"/>
      <c r="E79" s="15"/>
      <c r="F79" s="15"/>
      <c r="G79" s="15"/>
      <c r="H79" s="16"/>
    </row>
    <row r="80" spans="3:8">
      <c r="C80" s="14"/>
      <c r="D80" s="14"/>
      <c r="E80" s="15"/>
      <c r="F80" s="15"/>
      <c r="G80" s="15"/>
      <c r="H80" s="16"/>
    </row>
    <row r="81" spans="3:8">
      <c r="C81" s="14"/>
      <c r="D81" s="14"/>
      <c r="E81" s="15"/>
      <c r="F81" s="15"/>
      <c r="G81" s="15"/>
      <c r="H81" s="16"/>
    </row>
    <row r="82" spans="3:8">
      <c r="C82" s="14"/>
      <c r="D82" s="14"/>
      <c r="E82" s="15"/>
      <c r="F82" s="15"/>
      <c r="G82" s="15"/>
      <c r="H82" s="16"/>
    </row>
    <row r="83" spans="3:8">
      <c r="C83" s="14"/>
      <c r="D83" s="14"/>
      <c r="E83" s="15"/>
      <c r="F83" s="15"/>
      <c r="G83" s="15"/>
      <c r="H83" s="16"/>
    </row>
    <row r="84" spans="3:8">
      <c r="C84" s="14"/>
      <c r="D84" s="14"/>
      <c r="E84" s="15"/>
      <c r="F84" s="15"/>
      <c r="G84" s="15"/>
      <c r="H84" s="16"/>
    </row>
    <row r="85" spans="3:8">
      <c r="C85" s="14"/>
      <c r="D85" s="14"/>
      <c r="E85" s="15"/>
      <c r="F85" s="15"/>
      <c r="G85" s="15"/>
      <c r="H85" s="16"/>
    </row>
    <row r="86" spans="3:8">
      <c r="C86" s="14"/>
      <c r="D86" s="14"/>
      <c r="E86" s="15"/>
      <c r="F86" s="15"/>
      <c r="G86" s="15"/>
      <c r="H86" s="16"/>
    </row>
    <row r="87" spans="3:8">
      <c r="C87" s="14"/>
      <c r="D87" s="14"/>
      <c r="E87" s="15"/>
      <c r="F87" s="15"/>
      <c r="G87" s="15"/>
      <c r="H87" s="16"/>
    </row>
    <row r="88" spans="3:8">
      <c r="C88" s="14"/>
      <c r="D88" s="14"/>
      <c r="E88" s="15"/>
      <c r="F88" s="15"/>
      <c r="G88" s="15"/>
      <c r="H88" s="16"/>
    </row>
    <row r="89" spans="3:8">
      <c r="C89" s="14"/>
      <c r="D89" s="14"/>
      <c r="E89" s="15"/>
      <c r="F89" s="15"/>
      <c r="G89" s="15"/>
      <c r="H89" s="16"/>
    </row>
    <row r="90" spans="3:8">
      <c r="C90" s="14"/>
      <c r="D90" s="14"/>
      <c r="E90" s="15"/>
      <c r="F90" s="15"/>
      <c r="G90" s="15"/>
      <c r="H90" s="16"/>
    </row>
    <row r="91" spans="3:8">
      <c r="C91" s="14"/>
      <c r="D91" s="14"/>
      <c r="E91" s="15"/>
      <c r="F91" s="15"/>
      <c r="G91" s="15"/>
      <c r="H91" s="16"/>
    </row>
    <row r="92" spans="3:8">
      <c r="C92" s="14"/>
      <c r="D92" s="14"/>
      <c r="E92" s="15"/>
      <c r="F92" s="15"/>
      <c r="G92" s="15"/>
      <c r="H92" s="16"/>
    </row>
    <row r="93" spans="3:8">
      <c r="C93" s="14"/>
      <c r="D93" s="14"/>
      <c r="E93" s="15"/>
      <c r="F93" s="15"/>
      <c r="G93" s="15"/>
      <c r="H93" s="16"/>
    </row>
    <row r="94" spans="3:8">
      <c r="C94" s="14"/>
      <c r="D94" s="14"/>
      <c r="E94" s="15"/>
      <c r="F94" s="15"/>
      <c r="G94" s="15"/>
      <c r="H94" s="16"/>
    </row>
    <row r="95" spans="3:8">
      <c r="C95" s="14"/>
      <c r="D95" s="14"/>
      <c r="E95" s="15"/>
      <c r="F95" s="15"/>
      <c r="G95" s="15"/>
      <c r="H95" s="16"/>
    </row>
    <row r="96" spans="3:8">
      <c r="C96" s="14"/>
      <c r="D96" s="14"/>
      <c r="E96" s="15"/>
      <c r="F96" s="15"/>
      <c r="G96" s="15"/>
      <c r="H96" s="16"/>
    </row>
    <row r="97" spans="3:8">
      <c r="C97" s="14"/>
      <c r="D97" s="14"/>
      <c r="E97" s="15"/>
      <c r="F97" s="15"/>
      <c r="G97" s="15"/>
      <c r="H97" s="16"/>
    </row>
    <row r="98" spans="3:8">
      <c r="C98" s="14"/>
      <c r="D98" s="14"/>
      <c r="E98" s="15"/>
      <c r="F98" s="15"/>
      <c r="G98" s="15"/>
      <c r="H98" s="16"/>
    </row>
    <row r="99" spans="3:8">
      <c r="C99" s="14"/>
      <c r="D99" s="14"/>
      <c r="E99" s="15"/>
      <c r="F99" s="15"/>
      <c r="G99" s="15"/>
      <c r="H99" s="16"/>
    </row>
    <row r="100" spans="3:8">
      <c r="C100" s="14"/>
      <c r="D100" s="14"/>
      <c r="E100" s="15"/>
      <c r="F100" s="15"/>
      <c r="G100" s="15"/>
      <c r="H100" s="16"/>
    </row>
    <row r="101" spans="3:8">
      <c r="C101" s="14"/>
      <c r="D101" s="14"/>
      <c r="E101" s="15"/>
      <c r="F101" s="15"/>
      <c r="G101" s="15"/>
      <c r="H101" s="16"/>
    </row>
    <row r="102" spans="3:8">
      <c r="C102" s="14"/>
      <c r="D102" s="14"/>
      <c r="E102" s="15"/>
      <c r="F102" s="15"/>
      <c r="G102" s="15"/>
      <c r="H102" s="16"/>
    </row>
    <row r="103" spans="3:8">
      <c r="C103" s="14"/>
      <c r="D103" s="14"/>
      <c r="E103" s="15"/>
      <c r="F103" s="15"/>
      <c r="G103" s="15"/>
      <c r="H103" s="16"/>
    </row>
    <row r="104" spans="3:8">
      <c r="C104" s="14"/>
      <c r="D104" s="14"/>
      <c r="E104" s="15"/>
      <c r="F104" s="15"/>
      <c r="G104" s="15"/>
      <c r="H104" s="16"/>
    </row>
    <row r="105" spans="3:8">
      <c r="C105" s="14"/>
      <c r="D105" s="14"/>
      <c r="E105" s="15"/>
      <c r="F105" s="15"/>
      <c r="G105" s="15"/>
      <c r="H105" s="16"/>
    </row>
    <row r="106" spans="3:8">
      <c r="C106" s="14"/>
      <c r="D106" s="14"/>
      <c r="E106" s="15"/>
      <c r="F106" s="15"/>
      <c r="G106" s="15"/>
      <c r="H106" s="16"/>
    </row>
    <row r="107" spans="3:8">
      <c r="C107" s="14"/>
      <c r="D107" s="14"/>
      <c r="E107" s="15"/>
      <c r="F107" s="15"/>
      <c r="G107" s="15"/>
      <c r="H107" s="16"/>
    </row>
    <row r="108" spans="3:8">
      <c r="C108" s="14"/>
      <c r="D108" s="14"/>
      <c r="E108" s="15"/>
      <c r="F108" s="15"/>
      <c r="G108" s="15"/>
      <c r="H108" s="16"/>
    </row>
    <row r="109" spans="3:8">
      <c r="C109" s="14"/>
      <c r="D109" s="14"/>
      <c r="E109" s="15"/>
      <c r="F109" s="15"/>
      <c r="G109" s="15"/>
      <c r="H109" s="16"/>
    </row>
    <row r="110" spans="3:8">
      <c r="C110" s="14"/>
      <c r="D110" s="14"/>
      <c r="E110" s="15"/>
      <c r="F110" s="15"/>
      <c r="G110" s="15"/>
      <c r="H110" s="16"/>
    </row>
    <row r="111" spans="3:8">
      <c r="C111" s="14"/>
      <c r="D111" s="14"/>
      <c r="E111" s="15"/>
      <c r="F111" s="15"/>
      <c r="G111" s="15"/>
      <c r="H111" s="16"/>
    </row>
    <row r="112" spans="3:8">
      <c r="C112" s="14"/>
      <c r="D112" s="14"/>
      <c r="E112" s="15"/>
      <c r="F112" s="15"/>
      <c r="G112" s="15"/>
      <c r="H112" s="16"/>
    </row>
    <row r="113" spans="3:8">
      <c r="C113" s="14"/>
      <c r="D113" s="14"/>
      <c r="E113" s="15"/>
      <c r="F113" s="15"/>
      <c r="G113" s="15"/>
      <c r="H113" s="16"/>
    </row>
    <row r="114" spans="3:8">
      <c r="C114" s="14"/>
      <c r="D114" s="14"/>
      <c r="E114" s="15"/>
      <c r="F114" s="15"/>
      <c r="G114" s="15"/>
      <c r="H114" s="16"/>
    </row>
    <row r="115" spans="3:8">
      <c r="C115" s="14"/>
      <c r="D115" s="14"/>
      <c r="E115" s="15"/>
      <c r="F115" s="15"/>
      <c r="G115" s="15"/>
      <c r="H115" s="16"/>
    </row>
    <row r="116" spans="3:8">
      <c r="C116" s="14"/>
      <c r="D116" s="14"/>
      <c r="E116" s="15"/>
      <c r="F116" s="15"/>
      <c r="G116" s="15"/>
      <c r="H116" s="16"/>
    </row>
    <row r="117" spans="3:8">
      <c r="C117" s="14"/>
      <c r="D117" s="14"/>
      <c r="E117" s="15"/>
      <c r="F117" s="15"/>
      <c r="G117" s="15"/>
      <c r="H117" s="16"/>
    </row>
    <row r="118" spans="3:8">
      <c r="C118" s="14"/>
      <c r="D118" s="14"/>
      <c r="E118" s="15"/>
      <c r="F118" s="15"/>
      <c r="G118" s="15"/>
      <c r="H118" s="16"/>
    </row>
    <row r="119" spans="3:8">
      <c r="C119" s="14"/>
      <c r="D119" s="14"/>
      <c r="E119" s="15"/>
      <c r="F119" s="15"/>
      <c r="G119" s="15"/>
      <c r="H119" s="16"/>
    </row>
    <row r="120" spans="3:8">
      <c r="C120" s="14"/>
      <c r="D120" s="14"/>
      <c r="E120" s="15"/>
      <c r="F120" s="15"/>
      <c r="G120" s="15"/>
      <c r="H120" s="16"/>
    </row>
    <row r="121" spans="3:8">
      <c r="C121" s="14"/>
      <c r="D121" s="14"/>
      <c r="E121" s="15"/>
      <c r="F121" s="15"/>
      <c r="G121" s="15"/>
      <c r="H121" s="16"/>
    </row>
    <row r="122" spans="3:8">
      <c r="C122" s="14"/>
      <c r="D122" s="14"/>
      <c r="E122" s="15"/>
      <c r="F122" s="15"/>
      <c r="G122" s="15"/>
      <c r="H122" s="16"/>
    </row>
    <row r="123" spans="3:8">
      <c r="C123" s="14"/>
      <c r="D123" s="14"/>
      <c r="E123" s="15"/>
      <c r="F123" s="15"/>
      <c r="G123" s="15"/>
      <c r="H123" s="16"/>
    </row>
    <row r="124" spans="3:8">
      <c r="C124" s="14"/>
      <c r="D124" s="14"/>
      <c r="E124" s="15"/>
      <c r="F124" s="15"/>
      <c r="G124" s="15"/>
      <c r="H124" s="16"/>
    </row>
    <row r="125" spans="3:8">
      <c r="C125" s="14"/>
      <c r="D125" s="14"/>
      <c r="E125" s="15"/>
      <c r="F125" s="15"/>
      <c r="G125" s="15"/>
      <c r="H125" s="16"/>
    </row>
    <row r="126" spans="3:8">
      <c r="C126" s="14"/>
      <c r="D126" s="14"/>
      <c r="E126" s="15"/>
      <c r="F126" s="15"/>
      <c r="G126" s="15"/>
      <c r="H126" s="16"/>
    </row>
    <row r="127" spans="3:8">
      <c r="C127" s="14"/>
      <c r="D127" s="14"/>
      <c r="E127" s="15"/>
      <c r="F127" s="15"/>
      <c r="G127" s="15"/>
      <c r="H127" s="16"/>
    </row>
    <row r="128" spans="3:8">
      <c r="C128" s="14"/>
      <c r="D128" s="14"/>
      <c r="E128" s="15"/>
      <c r="F128" s="15"/>
      <c r="G128" s="15"/>
      <c r="H128" s="16"/>
    </row>
    <row r="129" spans="3:8">
      <c r="C129" s="14"/>
      <c r="D129" s="14"/>
      <c r="E129" s="15"/>
      <c r="F129" s="15"/>
      <c r="G129" s="15"/>
      <c r="H129" s="16"/>
    </row>
    <row r="130" spans="3:8">
      <c r="C130" s="14"/>
      <c r="D130" s="14"/>
      <c r="E130" s="15"/>
      <c r="F130" s="15"/>
      <c r="G130" s="15"/>
      <c r="H130" s="16"/>
    </row>
    <row r="131" spans="3:8">
      <c r="C131" s="14"/>
      <c r="D131" s="14"/>
      <c r="E131" s="15"/>
      <c r="F131" s="15"/>
      <c r="G131" s="15"/>
      <c r="H131" s="16"/>
    </row>
    <row r="132" spans="3:8">
      <c r="C132" s="14"/>
      <c r="D132" s="14"/>
      <c r="E132" s="15"/>
      <c r="F132" s="15"/>
      <c r="G132" s="15"/>
      <c r="H132" s="16"/>
    </row>
    <row r="133" spans="3:8">
      <c r="C133" s="14"/>
      <c r="D133" s="14"/>
      <c r="E133" s="15"/>
      <c r="F133" s="15"/>
      <c r="G133" s="15"/>
      <c r="H133" s="16"/>
    </row>
    <row r="134" spans="3:8">
      <c r="C134" s="14"/>
      <c r="D134" s="14"/>
      <c r="E134" s="15"/>
      <c r="F134" s="15"/>
      <c r="G134" s="15"/>
      <c r="H134" s="16"/>
    </row>
    <row r="135" spans="3:8">
      <c r="C135" s="14"/>
      <c r="D135" s="14"/>
      <c r="E135" s="15"/>
      <c r="F135" s="15"/>
      <c r="G135" s="15"/>
      <c r="H135" s="16"/>
    </row>
    <row r="136" spans="3:8">
      <c r="C136" s="14"/>
      <c r="D136" s="14"/>
      <c r="E136" s="15"/>
      <c r="F136" s="15"/>
      <c r="G136" s="15"/>
      <c r="H136" s="16"/>
    </row>
    <row r="137" spans="3:8">
      <c r="C137" s="14"/>
      <c r="D137" s="14"/>
      <c r="E137" s="15"/>
      <c r="F137" s="15"/>
      <c r="G137" s="15"/>
      <c r="H137" s="16"/>
    </row>
    <row r="138" spans="3:8">
      <c r="C138" s="14"/>
      <c r="D138" s="14"/>
      <c r="E138" s="15"/>
      <c r="F138" s="15"/>
      <c r="G138" s="15"/>
      <c r="H138" s="16"/>
    </row>
    <row r="139" spans="3:8">
      <c r="C139" s="14"/>
      <c r="D139" s="14"/>
      <c r="E139" s="15"/>
      <c r="F139" s="15"/>
      <c r="G139" s="15"/>
      <c r="H139" s="16"/>
    </row>
    <row r="140" spans="3:8">
      <c r="C140" s="14"/>
      <c r="D140" s="14"/>
      <c r="E140" s="15"/>
      <c r="F140" s="15"/>
      <c r="G140" s="15"/>
      <c r="H140" s="16"/>
    </row>
    <row r="141" spans="3:8">
      <c r="C141" s="14"/>
      <c r="D141" s="14"/>
      <c r="E141" s="15"/>
      <c r="F141" s="15"/>
      <c r="G141" s="15"/>
      <c r="H141" s="16"/>
    </row>
    <row r="142" spans="3:8">
      <c r="C142" s="14"/>
      <c r="D142" s="14"/>
      <c r="E142" s="15"/>
      <c r="F142" s="15"/>
      <c r="G142" s="15"/>
      <c r="H142" s="16"/>
    </row>
    <row r="143" spans="3:8">
      <c r="C143" s="14"/>
      <c r="D143" s="14"/>
      <c r="E143" s="15"/>
      <c r="F143" s="15"/>
      <c r="G143" s="15"/>
      <c r="H143" s="16"/>
    </row>
    <row r="144" spans="3:8">
      <c r="C144" s="14"/>
      <c r="D144" s="14"/>
      <c r="E144" s="15"/>
      <c r="F144" s="15"/>
      <c r="G144" s="15"/>
      <c r="H144" s="16"/>
    </row>
    <row r="145" spans="3:8">
      <c r="C145" s="14"/>
      <c r="D145" s="14"/>
      <c r="E145" s="15"/>
      <c r="F145" s="15"/>
      <c r="G145" s="15"/>
      <c r="H145" s="16"/>
    </row>
    <row r="146" spans="3:8">
      <c r="C146" s="14"/>
      <c r="D146" s="14"/>
      <c r="E146" s="15"/>
      <c r="F146" s="15"/>
      <c r="G146" s="15"/>
      <c r="H146" s="16"/>
    </row>
    <row r="147" spans="3:8">
      <c r="C147" s="14"/>
      <c r="D147" s="14"/>
      <c r="E147" s="15"/>
      <c r="F147" s="15"/>
      <c r="G147" s="15"/>
      <c r="H147" s="16"/>
    </row>
    <row r="148" spans="3:8">
      <c r="C148" s="14"/>
      <c r="D148" s="14"/>
      <c r="E148" s="15"/>
      <c r="F148" s="15"/>
      <c r="G148" s="15"/>
      <c r="H148" s="16"/>
    </row>
    <row r="149" spans="3:8">
      <c r="C149" s="14"/>
      <c r="D149" s="14"/>
      <c r="E149" s="15"/>
      <c r="F149" s="15"/>
      <c r="G149" s="15"/>
      <c r="H149" s="16"/>
    </row>
    <row r="150" spans="3:8">
      <c r="C150" s="14"/>
      <c r="D150" s="14"/>
      <c r="E150" s="15"/>
      <c r="F150" s="15"/>
      <c r="G150" s="15"/>
      <c r="H150" s="16"/>
    </row>
    <row r="151" spans="3:8">
      <c r="C151" s="14"/>
      <c r="D151" s="14"/>
      <c r="E151" s="15"/>
      <c r="F151" s="15"/>
      <c r="G151" s="15"/>
      <c r="H151" s="16"/>
    </row>
    <row r="152" spans="3:8">
      <c r="C152" s="14"/>
      <c r="D152" s="14"/>
      <c r="E152" s="15"/>
      <c r="F152" s="15"/>
      <c r="G152" s="15"/>
      <c r="H152" s="16"/>
    </row>
  </sheetData>
  <mergeCells count="9">
    <mergeCell ref="C8:G8"/>
    <mergeCell ref="A26:G26"/>
    <mergeCell ref="C28:Q28"/>
    <mergeCell ref="A1:Q1"/>
    <mergeCell ref="A3:Q3"/>
    <mergeCell ref="A6:A7"/>
    <mergeCell ref="B6:G6"/>
    <mergeCell ref="H6:L6"/>
    <mergeCell ref="M6:Q6"/>
  </mergeCells>
  <pageMargins left="1" right="0.8" top="0.78700000000000003" bottom="0.59" header="0.5" footer="0.5"/>
  <pageSetup paperSize="9" scale="9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R34"/>
  <sheetViews>
    <sheetView view="pageBreakPreview" zoomScaleSheetLayoutView="100" workbookViewId="0">
      <selection activeCell="L25" sqref="L25"/>
    </sheetView>
  </sheetViews>
  <sheetFormatPr defaultColWidth="9.33203125" defaultRowHeight="13.2"/>
  <cols>
    <col min="1" max="1" width="6.6640625" style="230" customWidth="1"/>
    <col min="2" max="2" width="7.33203125" style="230" customWidth="1"/>
    <col min="3" max="3" width="5.6640625" style="230" customWidth="1"/>
    <col min="4" max="4" width="5.33203125" style="230" customWidth="1"/>
    <col min="5" max="7" width="4.33203125" style="230" customWidth="1"/>
    <col min="8" max="8" width="7.6640625" style="230" customWidth="1"/>
    <col min="9" max="9" width="7.44140625" style="230" customWidth="1"/>
    <col min="10" max="11" width="8.33203125" style="230" customWidth="1"/>
    <col min="12" max="12" width="10.33203125" style="230" customWidth="1"/>
    <col min="13" max="13" width="10" style="230" customWidth="1"/>
    <col min="14" max="14" width="10.33203125" style="230" customWidth="1"/>
    <col min="15" max="15" width="9.33203125" style="230" customWidth="1"/>
    <col min="16" max="17" width="10.33203125" style="230" customWidth="1"/>
    <col min="18" max="16384" width="9.33203125" style="230"/>
  </cols>
  <sheetData>
    <row r="1" spans="1:17" ht="15.6">
      <c r="A1" s="519" t="s">
        <v>98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17" ht="9" customHeight="1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17" ht="15.6">
      <c r="A3" s="520" t="s">
        <v>292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5.6">
      <c r="A4" s="463" t="s">
        <v>336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</row>
    <row r="5" spans="1:17" ht="13.8" thickBot="1">
      <c r="A5" s="464"/>
      <c r="B5" s="465"/>
      <c r="C5" s="466"/>
      <c r="D5" s="466"/>
      <c r="E5" s="467"/>
      <c r="F5" s="468"/>
      <c r="G5" s="468"/>
      <c r="H5" s="469"/>
      <c r="I5" s="468"/>
      <c r="J5" s="468"/>
      <c r="K5" s="468"/>
      <c r="L5" s="468"/>
      <c r="M5" s="468"/>
      <c r="N5" s="470"/>
      <c r="O5" s="470"/>
      <c r="P5" s="470"/>
      <c r="Q5" s="471" t="s">
        <v>101</v>
      </c>
    </row>
    <row r="6" spans="1:17" ht="14.85" customHeight="1">
      <c r="A6" s="552" t="s">
        <v>141</v>
      </c>
      <c r="B6" s="553" t="s">
        <v>94</v>
      </c>
      <c r="C6" s="553"/>
      <c r="D6" s="553"/>
      <c r="E6" s="553"/>
      <c r="F6" s="553"/>
      <c r="G6" s="553"/>
      <c r="H6" s="554" t="s">
        <v>95</v>
      </c>
      <c r="I6" s="555"/>
      <c r="J6" s="555"/>
      <c r="K6" s="555"/>
      <c r="L6" s="556"/>
      <c r="M6" s="554" t="s">
        <v>93</v>
      </c>
      <c r="N6" s="555"/>
      <c r="O6" s="555"/>
      <c r="P6" s="555"/>
      <c r="Q6" s="556"/>
    </row>
    <row r="7" spans="1:17" ht="14.85" customHeight="1">
      <c r="A7" s="535"/>
      <c r="B7" s="414" t="s">
        <v>12</v>
      </c>
      <c r="C7" s="178" t="s">
        <v>75</v>
      </c>
      <c r="D7" s="178" t="s">
        <v>12</v>
      </c>
      <c r="E7" s="179" t="s">
        <v>77</v>
      </c>
      <c r="F7" s="178" t="s">
        <v>76</v>
      </c>
      <c r="G7" s="178" t="s">
        <v>78</v>
      </c>
      <c r="H7" s="178" t="s">
        <v>89</v>
      </c>
      <c r="I7" s="178" t="s">
        <v>90</v>
      </c>
      <c r="J7" s="178" t="s">
        <v>91</v>
      </c>
      <c r="K7" s="178" t="s">
        <v>92</v>
      </c>
      <c r="L7" s="178" t="s">
        <v>64</v>
      </c>
      <c r="M7" s="178" t="s">
        <v>89</v>
      </c>
      <c r="N7" s="178" t="s">
        <v>90</v>
      </c>
      <c r="O7" s="178" t="s">
        <v>91</v>
      </c>
      <c r="P7" s="178" t="s">
        <v>92</v>
      </c>
      <c r="Q7" s="178" t="s">
        <v>64</v>
      </c>
    </row>
    <row r="8" spans="1:17" ht="14.85" hidden="1" customHeight="1">
      <c r="A8" s="4"/>
      <c r="B8" s="4"/>
      <c r="C8" s="35" t="s">
        <v>96</v>
      </c>
      <c r="D8" s="35"/>
      <c r="E8" s="35"/>
      <c r="F8" s="35"/>
      <c r="G8" s="35"/>
      <c r="H8" s="145">
        <v>33.999427939621192</v>
      </c>
      <c r="I8" s="145">
        <v>27.998856840688397</v>
      </c>
      <c r="J8" s="145">
        <v>9.0022872800692237</v>
      </c>
      <c r="K8" s="145">
        <v>28.999427939621192</v>
      </c>
      <c r="L8" s="147">
        <f>SUM(H8:K8)</f>
        <v>100</v>
      </c>
      <c r="M8" s="145">
        <v>33.665795454545453</v>
      </c>
      <c r="N8" s="145">
        <v>28.767159090909093</v>
      </c>
      <c r="O8" s="145">
        <v>10.032159090909092</v>
      </c>
      <c r="P8" s="145">
        <v>27.534886363636364</v>
      </c>
      <c r="Q8" s="147">
        <f>SUM(M8:P8)</f>
        <v>100</v>
      </c>
    </row>
    <row r="9" spans="1:17" ht="15.45" customHeight="1">
      <c r="A9" s="125">
        <v>1</v>
      </c>
      <c r="B9" s="36">
        <v>2202</v>
      </c>
      <c r="C9" s="26" t="s">
        <v>73</v>
      </c>
      <c r="D9" s="26" t="s">
        <v>79</v>
      </c>
      <c r="E9" s="26" t="s">
        <v>82</v>
      </c>
      <c r="F9" s="26" t="s">
        <v>84</v>
      </c>
      <c r="G9" s="26" t="s">
        <v>115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20"/>
      <c r="O9" s="126">
        <v>0</v>
      </c>
      <c r="P9" s="126">
        <v>0</v>
      </c>
      <c r="Q9" s="232">
        <f t="shared" ref="Q9:Q17" si="0">SUM(M9:P9)</f>
        <v>0</v>
      </c>
    </row>
    <row r="10" spans="1:17" ht="15.45" customHeight="1">
      <c r="A10" s="125">
        <v>2</v>
      </c>
      <c r="B10" s="36">
        <v>2202</v>
      </c>
      <c r="C10" s="26" t="s">
        <v>73</v>
      </c>
      <c r="D10" s="26" t="s">
        <v>79</v>
      </c>
      <c r="E10" s="26" t="s">
        <v>87</v>
      </c>
      <c r="F10" s="26" t="s">
        <v>83</v>
      </c>
      <c r="G10" s="26" t="s">
        <v>115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20">
        <v>271634</v>
      </c>
      <c r="N10" s="126">
        <v>0</v>
      </c>
      <c r="O10" s="126">
        <v>0</v>
      </c>
      <c r="P10" s="126">
        <v>0</v>
      </c>
      <c r="Q10" s="22">
        <f t="shared" si="0"/>
        <v>271634</v>
      </c>
    </row>
    <row r="11" spans="1:17" ht="15.45" customHeight="1">
      <c r="A11" s="125">
        <v>3</v>
      </c>
      <c r="B11" s="36">
        <v>2202</v>
      </c>
      <c r="C11" s="26" t="s">
        <v>73</v>
      </c>
      <c r="D11" s="26" t="s">
        <v>79</v>
      </c>
      <c r="E11" s="26" t="s">
        <v>87</v>
      </c>
      <c r="F11" s="26" t="s">
        <v>84</v>
      </c>
      <c r="G11" s="26" t="s">
        <v>115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33">
        <v>199251</v>
      </c>
      <c r="O11" s="126">
        <v>0</v>
      </c>
      <c r="P11" s="126">
        <v>0</v>
      </c>
      <c r="Q11" s="22">
        <f t="shared" si="0"/>
        <v>199251</v>
      </c>
    </row>
    <row r="12" spans="1:17" ht="15.45" customHeight="1">
      <c r="A12" s="125">
        <v>4</v>
      </c>
      <c r="B12" s="36">
        <v>2202</v>
      </c>
      <c r="C12" s="26" t="s">
        <v>73</v>
      </c>
      <c r="D12" s="26" t="s">
        <v>79</v>
      </c>
      <c r="E12" s="26" t="s">
        <v>87</v>
      </c>
      <c r="F12" s="26" t="s">
        <v>85</v>
      </c>
      <c r="G12" s="26" t="s">
        <v>115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34">
        <v>66707</v>
      </c>
      <c r="P12" s="126">
        <v>0</v>
      </c>
      <c r="Q12" s="22">
        <f t="shared" si="0"/>
        <v>66707</v>
      </c>
    </row>
    <row r="13" spans="1:17" ht="15.45" customHeight="1">
      <c r="A13" s="125">
        <v>5</v>
      </c>
      <c r="B13" s="36">
        <v>2202</v>
      </c>
      <c r="C13" s="26" t="s">
        <v>73</v>
      </c>
      <c r="D13" s="26" t="s">
        <v>79</v>
      </c>
      <c r="E13" s="26" t="s">
        <v>87</v>
      </c>
      <c r="F13" s="26" t="s">
        <v>86</v>
      </c>
      <c r="G13" s="26" t="s">
        <v>115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35">
        <v>191775</v>
      </c>
      <c r="Q13" s="22">
        <f t="shared" si="0"/>
        <v>191775</v>
      </c>
    </row>
    <row r="14" spans="1:17" ht="15.45" customHeight="1">
      <c r="A14" s="125">
        <v>6</v>
      </c>
      <c r="B14" s="36">
        <v>2202</v>
      </c>
      <c r="C14" s="26" t="s">
        <v>73</v>
      </c>
      <c r="D14" s="26" t="s">
        <v>79</v>
      </c>
      <c r="E14" s="26">
        <v>63</v>
      </c>
      <c r="F14" s="26" t="s">
        <v>83</v>
      </c>
      <c r="G14" s="26" t="s">
        <v>115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36">
        <v>334576</v>
      </c>
      <c r="N14" s="126">
        <v>0</v>
      </c>
      <c r="O14" s="126">
        <v>0</v>
      </c>
      <c r="P14" s="126">
        <v>0</v>
      </c>
      <c r="Q14" s="22">
        <f t="shared" si="0"/>
        <v>334576</v>
      </c>
    </row>
    <row r="15" spans="1:17" ht="15.45" customHeight="1">
      <c r="A15" s="125">
        <v>7</v>
      </c>
      <c r="B15" s="36">
        <v>2202</v>
      </c>
      <c r="C15" s="26" t="s">
        <v>73</v>
      </c>
      <c r="D15" s="26" t="s">
        <v>79</v>
      </c>
      <c r="E15" s="26">
        <v>63</v>
      </c>
      <c r="F15" s="26" t="s">
        <v>84</v>
      </c>
      <c r="G15" s="26" t="s">
        <v>115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37">
        <v>112087</v>
      </c>
      <c r="O15" s="126">
        <v>0</v>
      </c>
      <c r="P15" s="126">
        <v>0</v>
      </c>
      <c r="Q15" s="22">
        <f t="shared" si="0"/>
        <v>112087</v>
      </c>
    </row>
    <row r="16" spans="1:17" ht="15.45" customHeight="1">
      <c r="A16" s="125">
        <v>8</v>
      </c>
      <c r="B16" s="36">
        <v>2202</v>
      </c>
      <c r="C16" s="26" t="s">
        <v>73</v>
      </c>
      <c r="D16" s="26" t="s">
        <v>79</v>
      </c>
      <c r="E16" s="26">
        <v>63</v>
      </c>
      <c r="F16" s="26" t="s">
        <v>85</v>
      </c>
      <c r="G16" s="26" t="s">
        <v>115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/>
      <c r="O16" s="138">
        <v>53903</v>
      </c>
      <c r="P16" s="126">
        <v>0</v>
      </c>
      <c r="Q16" s="22">
        <f t="shared" si="0"/>
        <v>53903</v>
      </c>
    </row>
    <row r="17" spans="1:18" ht="15.45" customHeight="1">
      <c r="A17" s="125">
        <v>9</v>
      </c>
      <c r="B17" s="36">
        <v>2202</v>
      </c>
      <c r="C17" s="26" t="s">
        <v>73</v>
      </c>
      <c r="D17" s="26" t="s">
        <v>79</v>
      </c>
      <c r="E17" s="26">
        <v>63</v>
      </c>
      <c r="F17" s="26" t="s">
        <v>86</v>
      </c>
      <c r="G17" s="26" t="s">
        <v>115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39">
        <v>192150</v>
      </c>
      <c r="Q17" s="22">
        <f t="shared" si="0"/>
        <v>192150</v>
      </c>
    </row>
    <row r="18" spans="1:18" ht="15.45" customHeight="1">
      <c r="A18" s="125">
        <v>10</v>
      </c>
      <c r="B18" s="37">
        <v>2515</v>
      </c>
      <c r="C18" s="26" t="s">
        <v>74</v>
      </c>
      <c r="D18" s="26" t="s">
        <v>81</v>
      </c>
      <c r="E18" s="26" t="s">
        <v>82</v>
      </c>
      <c r="F18" s="26" t="s">
        <v>74</v>
      </c>
      <c r="G18" s="26" t="s">
        <v>115</v>
      </c>
      <c r="H18" s="175">
        <f>L18*35%</f>
        <v>43069.25</v>
      </c>
      <c r="I18" s="175">
        <f>L18*28%</f>
        <v>34455.4</v>
      </c>
      <c r="J18" s="175">
        <f>L18*8%</f>
        <v>9844.4</v>
      </c>
      <c r="K18" s="175">
        <f>L18*29%</f>
        <v>35685.949999999997</v>
      </c>
      <c r="L18" s="146">
        <v>123055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</row>
    <row r="19" spans="1:18" ht="15.45" customHeight="1">
      <c r="A19" s="125">
        <v>11</v>
      </c>
      <c r="B19" s="37">
        <v>2515</v>
      </c>
      <c r="C19" s="26" t="s">
        <v>74</v>
      </c>
      <c r="D19" s="26" t="s">
        <v>81</v>
      </c>
      <c r="E19" s="26" t="s">
        <v>82</v>
      </c>
      <c r="F19" s="26" t="s">
        <v>74</v>
      </c>
      <c r="G19" s="26" t="s">
        <v>88</v>
      </c>
      <c r="H19" s="175">
        <v>300</v>
      </c>
      <c r="I19" s="175">
        <v>300</v>
      </c>
      <c r="J19" s="175">
        <v>300</v>
      </c>
      <c r="K19" s="175">
        <v>300</v>
      </c>
      <c r="L19" s="146">
        <v>1200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230" t="s">
        <v>329</v>
      </c>
    </row>
    <row r="20" spans="1:18" ht="15.45" customHeight="1">
      <c r="A20" s="125">
        <v>12</v>
      </c>
      <c r="B20" s="37">
        <v>2515</v>
      </c>
      <c r="C20" s="26" t="s">
        <v>74</v>
      </c>
      <c r="D20" s="26" t="s">
        <v>81</v>
      </c>
      <c r="E20" s="26" t="s">
        <v>82</v>
      </c>
      <c r="F20" s="26" t="s">
        <v>74</v>
      </c>
      <c r="G20" s="26" t="s">
        <v>102</v>
      </c>
      <c r="H20" s="175">
        <f t="shared" ref="H20" si="1">L20*35%</f>
        <v>521.5</v>
      </c>
      <c r="I20" s="175">
        <f t="shared" ref="I20" si="2">L20*28%</f>
        <v>417.20000000000005</v>
      </c>
      <c r="J20" s="175">
        <f t="shared" ref="J20" si="3">L20*8%</f>
        <v>119.2</v>
      </c>
      <c r="K20" s="175">
        <f t="shared" ref="K20" si="4">L20*29%</f>
        <v>432.09999999999997</v>
      </c>
      <c r="L20" s="152">
        <v>1490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</row>
    <row r="21" spans="1:18" ht="15.45" customHeight="1">
      <c r="A21" s="125">
        <v>13</v>
      </c>
      <c r="B21" s="37">
        <v>2515</v>
      </c>
      <c r="C21" s="26" t="s">
        <v>74</v>
      </c>
      <c r="D21" s="26" t="s">
        <v>79</v>
      </c>
      <c r="E21" s="26" t="s">
        <v>82</v>
      </c>
      <c r="F21" s="26" t="s">
        <v>74</v>
      </c>
      <c r="G21" s="26" t="s">
        <v>115</v>
      </c>
      <c r="H21" s="232">
        <f t="shared" ref="H21:H23" si="5">L21*35.25%</f>
        <v>0</v>
      </c>
      <c r="I21" s="232">
        <f t="shared" ref="I21:I23" si="6">L21*28.67%</f>
        <v>0</v>
      </c>
      <c r="J21" s="232">
        <f t="shared" ref="J21:J23" si="7">L21*8.5%</f>
        <v>0</v>
      </c>
      <c r="K21" s="232">
        <f t="shared" ref="K21:K23" si="8">L21*27.58%</f>
        <v>0</v>
      </c>
      <c r="L21" s="126">
        <v>0</v>
      </c>
      <c r="M21" s="192">
        <f>ROUND($Q21*35.25%,0)</f>
        <v>94880</v>
      </c>
      <c r="N21" s="192">
        <f>ROUND($Q21*28.67%,0)</f>
        <v>77169</v>
      </c>
      <c r="O21" s="192">
        <f>ROUND($Q21*8.5%,0)</f>
        <v>22879</v>
      </c>
      <c r="P21" s="192">
        <f>ROUND($Q21*27.58%,0)+1</f>
        <v>74236</v>
      </c>
      <c r="Q21" s="140">
        <v>269164</v>
      </c>
    </row>
    <row r="22" spans="1:18" ht="15.45" customHeight="1">
      <c r="A22" s="125">
        <v>14</v>
      </c>
      <c r="B22" s="37">
        <v>2515</v>
      </c>
      <c r="C22" s="26" t="s">
        <v>74</v>
      </c>
      <c r="D22" s="26" t="s">
        <v>79</v>
      </c>
      <c r="E22" s="26" t="s">
        <v>82</v>
      </c>
      <c r="F22" s="26" t="s">
        <v>74</v>
      </c>
      <c r="G22" s="26" t="s">
        <v>102</v>
      </c>
      <c r="H22" s="232">
        <f t="shared" si="5"/>
        <v>0</v>
      </c>
      <c r="I22" s="232">
        <f t="shared" si="6"/>
        <v>0</v>
      </c>
      <c r="J22" s="232">
        <f t="shared" si="7"/>
        <v>0</v>
      </c>
      <c r="K22" s="232">
        <f t="shared" si="8"/>
        <v>0</v>
      </c>
      <c r="L22" s="126">
        <v>0</v>
      </c>
      <c r="M22" s="192">
        <f>ROUND($Q22*35.25%,0)</f>
        <v>2289</v>
      </c>
      <c r="N22" s="192">
        <f>ROUND($Q22*28.67%,0)</f>
        <v>1862</v>
      </c>
      <c r="O22" s="192">
        <f>ROUND($Q22*8.5%,0)</f>
        <v>552</v>
      </c>
      <c r="P22" s="192">
        <f>ROUND($Q22*27.58%,0)+1</f>
        <v>1792</v>
      </c>
      <c r="Q22" s="140">
        <v>6495</v>
      </c>
    </row>
    <row r="23" spans="1:18" ht="15.45" customHeight="1">
      <c r="A23" s="125">
        <v>15</v>
      </c>
      <c r="B23" s="37">
        <v>2505</v>
      </c>
      <c r="C23" s="26" t="s">
        <v>214</v>
      </c>
      <c r="D23" s="26" t="s">
        <v>134</v>
      </c>
      <c r="E23" s="26" t="s">
        <v>135</v>
      </c>
      <c r="F23" s="26" t="s">
        <v>74</v>
      </c>
      <c r="G23" s="26" t="s">
        <v>136</v>
      </c>
      <c r="H23" s="232">
        <f t="shared" si="5"/>
        <v>0</v>
      </c>
      <c r="I23" s="232">
        <f t="shared" si="6"/>
        <v>0</v>
      </c>
      <c r="J23" s="232">
        <f t="shared" si="7"/>
        <v>0</v>
      </c>
      <c r="K23" s="232">
        <f t="shared" si="8"/>
        <v>0</v>
      </c>
      <c r="L23" s="126">
        <v>0</v>
      </c>
      <c r="M23" s="192">
        <f>ROUND($Q23*35.25%,0)</f>
        <v>176250</v>
      </c>
      <c r="N23" s="192">
        <f>ROUND($Q23*28.67%,0)</f>
        <v>143350</v>
      </c>
      <c r="O23" s="192">
        <f>ROUND($Q23*8.5%,0)</f>
        <v>42500</v>
      </c>
      <c r="P23" s="192">
        <f>ROUND($Q23*27.58%,0)</f>
        <v>137900</v>
      </c>
      <c r="Q23" s="141">
        <v>500000</v>
      </c>
    </row>
    <row r="24" spans="1:18" ht="15.45" customHeight="1">
      <c r="A24" s="125">
        <v>16</v>
      </c>
      <c r="B24" s="21">
        <v>3604</v>
      </c>
      <c r="C24" s="130" t="s">
        <v>74</v>
      </c>
      <c r="D24" s="130" t="s">
        <v>80</v>
      </c>
      <c r="E24" s="130" t="s">
        <v>215</v>
      </c>
      <c r="F24" s="130" t="s">
        <v>216</v>
      </c>
      <c r="G24" s="130" t="s">
        <v>88</v>
      </c>
      <c r="H24" s="431">
        <f>ROUND($L24*35%,0)</f>
        <v>20892</v>
      </c>
      <c r="I24" s="431">
        <f>ROUND($L24*29%,0)</f>
        <v>17310</v>
      </c>
      <c r="J24" s="431">
        <f>ROUND($L24*8%,0)</f>
        <v>4775</v>
      </c>
      <c r="K24" s="431">
        <f>ROUND($L24*28%,0)+1</f>
        <v>16714</v>
      </c>
      <c r="L24" s="131">
        <v>59691</v>
      </c>
      <c r="M24" s="181">
        <v>0</v>
      </c>
      <c r="N24" s="181">
        <v>0</v>
      </c>
      <c r="O24" s="181">
        <v>0</v>
      </c>
      <c r="P24" s="181">
        <v>0</v>
      </c>
      <c r="Q24" s="193">
        <f>SUM(M24:P24)</f>
        <v>0</v>
      </c>
    </row>
    <row r="25" spans="1:18" ht="15.45" customHeight="1">
      <c r="A25" s="125">
        <v>17</v>
      </c>
      <c r="B25" s="21">
        <v>3604</v>
      </c>
      <c r="C25" s="130" t="s">
        <v>74</v>
      </c>
      <c r="D25" s="130" t="s">
        <v>80</v>
      </c>
      <c r="E25" s="130" t="s">
        <v>215</v>
      </c>
      <c r="F25" s="130" t="s">
        <v>216</v>
      </c>
      <c r="G25" s="130" t="s">
        <v>102</v>
      </c>
      <c r="H25" s="181">
        <v>0</v>
      </c>
      <c r="I25" s="181">
        <v>0</v>
      </c>
      <c r="J25" s="181">
        <v>0</v>
      </c>
      <c r="K25" s="181">
        <v>0</v>
      </c>
      <c r="L25" s="126">
        <v>0</v>
      </c>
      <c r="M25" s="192">
        <f>ROUND($Q25*35.25%,0)</f>
        <v>49096</v>
      </c>
      <c r="N25" s="192">
        <f>ROUND($Q25*28.67%,0)</f>
        <v>39932</v>
      </c>
      <c r="O25" s="192">
        <f>ROUND($Q25*8.5%,0)</f>
        <v>11839</v>
      </c>
      <c r="P25" s="192">
        <f>ROUND($Q25*27.58%,0)</f>
        <v>38413</v>
      </c>
      <c r="Q25" s="132">
        <v>139280</v>
      </c>
    </row>
    <row r="26" spans="1:18" ht="15.45" customHeight="1">
      <c r="A26" s="125">
        <v>18</v>
      </c>
      <c r="B26" s="21">
        <v>3604</v>
      </c>
      <c r="C26" s="130" t="s">
        <v>74</v>
      </c>
      <c r="D26" s="130" t="s">
        <v>80</v>
      </c>
      <c r="E26" s="130" t="s">
        <v>217</v>
      </c>
      <c r="F26" s="130" t="s">
        <v>133</v>
      </c>
      <c r="G26" s="130" t="s">
        <v>102</v>
      </c>
      <c r="H26" s="181">
        <v>0</v>
      </c>
      <c r="I26" s="181">
        <v>0</v>
      </c>
      <c r="J26" s="181">
        <v>0</v>
      </c>
      <c r="K26" s="181">
        <v>0</v>
      </c>
      <c r="L26" s="126">
        <f>SUM(H26:K26)</f>
        <v>0</v>
      </c>
      <c r="M26" s="192">
        <f>ROUND($Q26*35.25%,0)</f>
        <v>141317</v>
      </c>
      <c r="N26" s="192">
        <f>ROUND($Q26*28.67%,0)</f>
        <v>114938</v>
      </c>
      <c r="O26" s="192">
        <f>ROUND($Q26*8.5%,0)</f>
        <v>34077</v>
      </c>
      <c r="P26" s="192">
        <f>ROUND($Q26*27.58%,0)</f>
        <v>110568</v>
      </c>
      <c r="Q26" s="132">
        <v>400900</v>
      </c>
    </row>
    <row r="27" spans="1:18" ht="15.45" customHeight="1">
      <c r="A27" s="125">
        <v>19</v>
      </c>
      <c r="B27" s="21">
        <v>3604</v>
      </c>
      <c r="C27" s="130" t="s">
        <v>74</v>
      </c>
      <c r="D27" s="130" t="s">
        <v>80</v>
      </c>
      <c r="E27" s="130" t="s">
        <v>225</v>
      </c>
      <c r="F27" s="130" t="s">
        <v>226</v>
      </c>
      <c r="G27" s="130" t="s">
        <v>102</v>
      </c>
      <c r="H27" s="181">
        <v>0</v>
      </c>
      <c r="I27" s="181">
        <v>0</v>
      </c>
      <c r="J27" s="181">
        <v>0</v>
      </c>
      <c r="K27" s="181">
        <v>0</v>
      </c>
      <c r="L27" s="126">
        <f>SUM(H27:K27)</f>
        <v>0</v>
      </c>
      <c r="M27" s="192">
        <f>ROUND($Q27*35.25%,0)</f>
        <v>17273</v>
      </c>
      <c r="N27" s="192">
        <f>ROUND($Q27*28.67%,0)</f>
        <v>14048</v>
      </c>
      <c r="O27" s="192">
        <f>ROUND($Q27*8.5%,0)</f>
        <v>4165</v>
      </c>
      <c r="P27" s="192">
        <f>ROUND($Q27*27.58%,0)</f>
        <v>13514</v>
      </c>
      <c r="Q27" s="132">
        <v>49000</v>
      </c>
    </row>
    <row r="28" spans="1:18" ht="15.45" customHeight="1">
      <c r="A28" s="125">
        <v>20</v>
      </c>
      <c r="B28" s="21">
        <v>3604</v>
      </c>
      <c r="C28" s="130" t="s">
        <v>74</v>
      </c>
      <c r="D28" s="130" t="s">
        <v>80</v>
      </c>
      <c r="E28" s="130" t="s">
        <v>231</v>
      </c>
      <c r="F28" s="130" t="s">
        <v>216</v>
      </c>
      <c r="G28" s="130" t="s">
        <v>88</v>
      </c>
      <c r="H28" s="192">
        <f>ROUND($L28*35%,0)</f>
        <v>8611</v>
      </c>
      <c r="I28" s="192">
        <f>ROUND($L28*29%,0)</f>
        <v>7135</v>
      </c>
      <c r="J28" s="192">
        <f>ROUND($L28*8%,0)</f>
        <v>1968</v>
      </c>
      <c r="K28" s="192">
        <f>ROUND($L28*28%,0)</f>
        <v>6889</v>
      </c>
      <c r="L28" s="194">
        <v>24603</v>
      </c>
      <c r="M28" s="232">
        <f t="shared" ref="M28:M30" si="9">ROUND($Q28*35.25%,0)</f>
        <v>0</v>
      </c>
      <c r="N28" s="232">
        <f t="shared" ref="N28:N30" si="10">ROUND($Q28*28.67%,0)</f>
        <v>0</v>
      </c>
      <c r="O28" s="232">
        <f t="shared" ref="O28:O30" si="11">ROUND($Q28*8.5%,0)</f>
        <v>0</v>
      </c>
      <c r="P28" s="232">
        <f t="shared" ref="P28:P30" si="12">ROUND($Q28*27.58%,0)</f>
        <v>0</v>
      </c>
      <c r="Q28" s="233">
        <v>0</v>
      </c>
    </row>
    <row r="29" spans="1:18" ht="15.45" customHeight="1">
      <c r="A29" s="125">
        <v>21</v>
      </c>
      <c r="B29" s="21">
        <v>3604</v>
      </c>
      <c r="C29" s="130" t="s">
        <v>74</v>
      </c>
      <c r="D29" s="130" t="s">
        <v>80</v>
      </c>
      <c r="E29" s="130" t="s">
        <v>231</v>
      </c>
      <c r="F29" s="130" t="s">
        <v>216</v>
      </c>
      <c r="G29" s="130" t="s">
        <v>102</v>
      </c>
      <c r="H29" s="232">
        <f t="shared" ref="H29" si="13">ROUND($L29*35.25%,0)</f>
        <v>0</v>
      </c>
      <c r="I29" s="232">
        <f t="shared" ref="I29" si="14">ROUND($L29*8.5%,0)</f>
        <v>0</v>
      </c>
      <c r="J29" s="232">
        <f t="shared" ref="J29" si="15">ROUND($L29*28.67%,0)</f>
        <v>0</v>
      </c>
      <c r="K29" s="232">
        <f t="shared" ref="K29" si="16">ROUND($L29*27.58%,0)</f>
        <v>0</v>
      </c>
      <c r="L29" s="181">
        <v>0</v>
      </c>
      <c r="M29" s="192">
        <f>ROUND($Q29*35.25%,0)</f>
        <v>18245</v>
      </c>
      <c r="N29" s="192">
        <f>ROUND($Q29*28.67%,0)</f>
        <v>14839</v>
      </c>
      <c r="O29" s="192">
        <f>ROUND($Q29*8.5%,0)</f>
        <v>4400</v>
      </c>
      <c r="P29" s="192">
        <f>ROUND($Q29*27.58%,0)</f>
        <v>14275</v>
      </c>
      <c r="Q29" s="132">
        <v>51759</v>
      </c>
    </row>
    <row r="30" spans="1:18" ht="15.45" customHeight="1">
      <c r="A30" s="125">
        <v>22</v>
      </c>
      <c r="B30" s="21">
        <v>3604</v>
      </c>
      <c r="C30" s="130" t="s">
        <v>74</v>
      </c>
      <c r="D30" s="130" t="s">
        <v>80</v>
      </c>
      <c r="E30" s="130" t="s">
        <v>231</v>
      </c>
      <c r="F30" s="130" t="s">
        <v>226</v>
      </c>
      <c r="G30" s="130" t="s">
        <v>88</v>
      </c>
      <c r="H30" s="192">
        <f>ROUND($L30*35%,0)</f>
        <v>3690</v>
      </c>
      <c r="I30" s="192">
        <f>ROUND($L30*29%,0)</f>
        <v>3058</v>
      </c>
      <c r="J30" s="192">
        <f>ROUND($L30*8%,0)</f>
        <v>844</v>
      </c>
      <c r="K30" s="192">
        <f>ROUND($L30*28%,0)</f>
        <v>2952</v>
      </c>
      <c r="L30" s="194">
        <v>10544</v>
      </c>
      <c r="M30" s="232">
        <f t="shared" si="9"/>
        <v>0</v>
      </c>
      <c r="N30" s="232">
        <f t="shared" si="10"/>
        <v>0</v>
      </c>
      <c r="O30" s="232">
        <f t="shared" si="11"/>
        <v>0</v>
      </c>
      <c r="P30" s="232">
        <f t="shared" si="12"/>
        <v>0</v>
      </c>
      <c r="Q30" s="233">
        <v>0</v>
      </c>
    </row>
    <row r="31" spans="1:18" ht="15.45" customHeight="1">
      <c r="A31" s="125">
        <v>23</v>
      </c>
      <c r="B31" s="21">
        <v>3604</v>
      </c>
      <c r="C31" s="130" t="s">
        <v>74</v>
      </c>
      <c r="D31" s="130" t="s">
        <v>80</v>
      </c>
      <c r="E31" s="130" t="s">
        <v>231</v>
      </c>
      <c r="F31" s="130" t="s">
        <v>226</v>
      </c>
      <c r="G31" s="130" t="s">
        <v>102</v>
      </c>
      <c r="H31" s="232">
        <v>0</v>
      </c>
      <c r="I31" s="232">
        <v>0</v>
      </c>
      <c r="J31" s="232">
        <v>0</v>
      </c>
      <c r="K31" s="232">
        <v>0</v>
      </c>
      <c r="L31" s="181">
        <v>0</v>
      </c>
      <c r="M31" s="192">
        <f>ROUND($Q31*35.25%,0)</f>
        <v>7819</v>
      </c>
      <c r="N31" s="192">
        <f>ROUND($Q31*28.67%,0)</f>
        <v>6360</v>
      </c>
      <c r="O31" s="192">
        <f>ROUND($Q31*8.5%,0)</f>
        <v>1885</v>
      </c>
      <c r="P31" s="192">
        <f>ROUND($Q31*27.58%,0)</f>
        <v>6118</v>
      </c>
      <c r="Q31" s="132">
        <v>22182</v>
      </c>
    </row>
    <row r="32" spans="1:18" ht="15.45" customHeight="1">
      <c r="A32" s="539" t="s">
        <v>64</v>
      </c>
      <c r="B32" s="540"/>
      <c r="C32" s="540"/>
      <c r="D32" s="540"/>
      <c r="E32" s="540"/>
      <c r="F32" s="540"/>
      <c r="G32" s="541"/>
      <c r="H32" s="231">
        <f>H9+H10+H11+H12+H13+H14+H15+H16+H17+H18+H19+H20+H21+H22+H23+H24+H25+H26+H27+H28+H29+H30+H31</f>
        <v>77083.75</v>
      </c>
      <c r="I32" s="19">
        <f t="shared" ref="I32:K32" si="17">SUM(I9:I31)</f>
        <v>62675.6</v>
      </c>
      <c r="J32" s="231">
        <f t="shared" si="17"/>
        <v>17850.599999999999</v>
      </c>
      <c r="K32" s="231">
        <f t="shared" si="17"/>
        <v>62973.049999999996</v>
      </c>
      <c r="L32" s="19">
        <f>SUM(L9:L31)</f>
        <v>220583</v>
      </c>
      <c r="M32" s="19">
        <f t="shared" ref="M32:Q32" si="18">SUM(M9:M31)</f>
        <v>1113379</v>
      </c>
      <c r="N32" s="19">
        <f t="shared" si="18"/>
        <v>723836</v>
      </c>
      <c r="O32" s="19">
        <f t="shared" si="18"/>
        <v>242907</v>
      </c>
      <c r="P32" s="19">
        <f t="shared" si="18"/>
        <v>780741</v>
      </c>
      <c r="Q32" s="19">
        <f t="shared" si="18"/>
        <v>2860863</v>
      </c>
    </row>
    <row r="33" spans="1:17" ht="13.8">
      <c r="A33" s="27"/>
      <c r="B33" s="28"/>
      <c r="C33" s="29"/>
      <c r="D33" s="29"/>
      <c r="E33" s="30"/>
      <c r="F33" s="30"/>
      <c r="G33" s="30"/>
      <c r="H33" s="31"/>
      <c r="I33" s="32"/>
      <c r="J33" s="32"/>
      <c r="K33" s="32"/>
      <c r="L33" s="32"/>
      <c r="M33" s="32"/>
      <c r="N33" s="33"/>
      <c r="O33" s="33"/>
      <c r="P33" s="33"/>
      <c r="Q33" s="33"/>
    </row>
    <row r="34" spans="1:17">
      <c r="A34" s="5" t="s">
        <v>138</v>
      </c>
      <c r="B34" s="6"/>
      <c r="C34" s="518" t="s">
        <v>139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</row>
  </sheetData>
  <mergeCells count="8">
    <mergeCell ref="A32:G32"/>
    <mergeCell ref="C34:Q34"/>
    <mergeCell ref="A1:Q1"/>
    <mergeCell ref="A3:Q3"/>
    <mergeCell ref="A6:A7"/>
    <mergeCell ref="B6:G6"/>
    <mergeCell ref="H6:L6"/>
    <mergeCell ref="M6:Q6"/>
  </mergeCells>
  <printOptions horizontalCentered="1"/>
  <pageMargins left="0.98425196850393704" right="0.98425196850393704" top="0.59055118110236227" bottom="0.98425196850393704" header="0.51181102362204722" footer="0.59055118110236227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A1:Q94"/>
  <sheetViews>
    <sheetView topLeftCell="A76" zoomScale="154" zoomScaleNormal="154" zoomScaleSheetLayoutView="85" zoomScalePageLayoutView="154" workbookViewId="0">
      <selection activeCell="G58" sqref="G58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1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9.33203125" style="55" customWidth="1"/>
    <col min="10" max="11" width="10.4414062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D71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D72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/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220" t="s">
        <v>156</v>
      </c>
      <c r="G28" s="221" t="s">
        <v>155</v>
      </c>
      <c r="H28" s="485"/>
      <c r="I28" s="508"/>
      <c r="J28" s="493"/>
      <c r="K28" s="493"/>
      <c r="M28" s="70"/>
    </row>
    <row r="29" spans="1:13" ht="22.5" customHeight="1">
      <c r="A29" s="220">
        <v>1</v>
      </c>
      <c r="B29" s="221">
        <v>2</v>
      </c>
      <c r="C29" s="220">
        <v>3</v>
      </c>
      <c r="D29" s="222">
        <v>4</v>
      </c>
      <c r="E29" s="222">
        <v>5</v>
      </c>
      <c r="F29" s="220">
        <v>6</v>
      </c>
      <c r="G29" s="221">
        <v>7</v>
      </c>
      <c r="H29" s="95">
        <v>8</v>
      </c>
      <c r="I29" s="95">
        <v>9</v>
      </c>
      <c r="J29" s="218">
        <v>10</v>
      </c>
      <c r="K29" s="218">
        <v>11</v>
      </c>
      <c r="M29" s="70"/>
    </row>
    <row r="30" spans="1:13">
      <c r="A30" s="66">
        <v>29</v>
      </c>
      <c r="B30" s="64" t="s">
        <v>59</v>
      </c>
      <c r="C30" s="225">
        <v>18476</v>
      </c>
      <c r="D30" s="225">
        <v>0</v>
      </c>
      <c r="E30" s="226">
        <f t="shared" ref="E30:E35" si="1">C30-D30</f>
        <v>18476</v>
      </c>
      <c r="F30" s="69">
        <v>25</v>
      </c>
      <c r="G30" s="56">
        <f t="shared" ref="G30:G35" si="2">E30*F30/100</f>
        <v>4619</v>
      </c>
      <c r="H30" s="56">
        <f t="shared" ref="H30:H35" si="3">E30-G30</f>
        <v>13857</v>
      </c>
      <c r="I30" s="56">
        <f t="shared" ref="I30:I35" si="4">H30*0.025</f>
        <v>346.42500000000001</v>
      </c>
      <c r="J30" s="56">
        <f t="shared" ref="J30:J35" si="5">I30*0.8</f>
        <v>277.14000000000004</v>
      </c>
      <c r="K30" s="56">
        <f t="shared" ref="K30:K35" si="6">I30-J30</f>
        <v>69.284999999999968</v>
      </c>
    </row>
    <row r="31" spans="1:13">
      <c r="A31" s="66">
        <v>30</v>
      </c>
      <c r="B31" s="64" t="s">
        <v>148</v>
      </c>
      <c r="C31" s="225">
        <v>85106</v>
      </c>
      <c r="D31" s="225">
        <v>0</v>
      </c>
      <c r="E31" s="226">
        <f t="shared" si="1"/>
        <v>85106</v>
      </c>
      <c r="F31" s="69">
        <v>25</v>
      </c>
      <c r="G31" s="56">
        <f t="shared" si="2"/>
        <v>21276.5</v>
      </c>
      <c r="H31" s="56">
        <f t="shared" si="3"/>
        <v>63829.5</v>
      </c>
      <c r="I31" s="56">
        <f t="shared" si="4"/>
        <v>1595.7375000000002</v>
      </c>
      <c r="J31" s="56">
        <f t="shared" si="5"/>
        <v>1276.5900000000001</v>
      </c>
      <c r="K31" s="56">
        <f t="shared" si="6"/>
        <v>319.14750000000004</v>
      </c>
    </row>
    <row r="32" spans="1:13">
      <c r="A32" s="66">
        <v>39</v>
      </c>
      <c r="B32" s="67" t="s">
        <v>147</v>
      </c>
      <c r="C32" s="225">
        <v>1420807</v>
      </c>
      <c r="D32" s="225">
        <v>0</v>
      </c>
      <c r="E32" s="226">
        <f t="shared" si="1"/>
        <v>1420807</v>
      </c>
      <c r="F32" s="69">
        <v>6.32</v>
      </c>
      <c r="G32" s="56">
        <f t="shared" si="2"/>
        <v>89795.002399999998</v>
      </c>
      <c r="H32" s="56">
        <f t="shared" si="3"/>
        <v>1331011.9975999999</v>
      </c>
      <c r="I32" s="56">
        <f t="shared" si="4"/>
        <v>33275.299939999997</v>
      </c>
      <c r="J32" s="56">
        <f t="shared" si="5"/>
        <v>26620.239952</v>
      </c>
      <c r="K32" s="56">
        <f t="shared" si="6"/>
        <v>6655.0599879999972</v>
      </c>
    </row>
    <row r="33" spans="1:11">
      <c r="A33" s="66">
        <v>40</v>
      </c>
      <c r="B33" s="64" t="s">
        <v>146</v>
      </c>
      <c r="C33" s="225">
        <v>3257203</v>
      </c>
      <c r="D33" s="225">
        <v>0</v>
      </c>
      <c r="E33" s="226">
        <f t="shared" si="1"/>
        <v>3257203</v>
      </c>
      <c r="F33" s="69">
        <v>3.1</v>
      </c>
      <c r="G33" s="56">
        <f t="shared" si="2"/>
        <v>100973.29300000001</v>
      </c>
      <c r="H33" s="56">
        <f t="shared" si="3"/>
        <v>3156229.7069999999</v>
      </c>
      <c r="I33" s="56">
        <f t="shared" si="4"/>
        <v>78905.742675000001</v>
      </c>
      <c r="J33" s="56">
        <f t="shared" si="5"/>
        <v>63124.594140000001</v>
      </c>
      <c r="K33" s="56">
        <f t="shared" si="6"/>
        <v>15781.148535</v>
      </c>
    </row>
    <row r="34" spans="1:11">
      <c r="A34" s="66">
        <v>41</v>
      </c>
      <c r="B34" s="64" t="s">
        <v>145</v>
      </c>
      <c r="C34" s="225">
        <v>223570</v>
      </c>
      <c r="D34" s="225">
        <v>0</v>
      </c>
      <c r="E34" s="226">
        <f t="shared" si="1"/>
        <v>223570</v>
      </c>
      <c r="F34" s="69">
        <v>17.010000000000002</v>
      </c>
      <c r="G34" s="56">
        <f t="shared" si="2"/>
        <v>38029.257000000005</v>
      </c>
      <c r="H34" s="56">
        <f t="shared" si="3"/>
        <v>185540.74299999999</v>
      </c>
      <c r="I34" s="56">
        <f t="shared" si="4"/>
        <v>4638.5185750000001</v>
      </c>
      <c r="J34" s="56">
        <f t="shared" si="5"/>
        <v>3710.8148600000004</v>
      </c>
      <c r="K34" s="56">
        <f t="shared" si="6"/>
        <v>927.70371499999965</v>
      </c>
    </row>
    <row r="35" spans="1:11">
      <c r="A35" s="66">
        <v>45</v>
      </c>
      <c r="B35" s="64" t="s">
        <v>144</v>
      </c>
      <c r="C35" s="225">
        <v>592750</v>
      </c>
      <c r="D35" s="225">
        <v>560774</v>
      </c>
      <c r="E35" s="226">
        <f t="shared" si="1"/>
        <v>31976</v>
      </c>
      <c r="F35" s="69">
        <v>25</v>
      </c>
      <c r="G35" s="56">
        <f t="shared" si="2"/>
        <v>7994</v>
      </c>
      <c r="H35" s="56">
        <f t="shared" si="3"/>
        <v>23982</v>
      </c>
      <c r="I35" s="56">
        <f t="shared" si="4"/>
        <v>599.55000000000007</v>
      </c>
      <c r="J35" s="56">
        <f t="shared" si="5"/>
        <v>479.6400000000001</v>
      </c>
      <c r="K35" s="56">
        <f t="shared" si="6"/>
        <v>119.90999999999997</v>
      </c>
    </row>
    <row r="36" spans="1:11">
      <c r="A36" s="65"/>
      <c r="B36" s="64" t="s">
        <v>3</v>
      </c>
      <c r="C36" s="227">
        <f>SUM(C30:C35)</f>
        <v>5597912</v>
      </c>
      <c r="D36" s="227">
        <f>SUM(D30:D35)</f>
        <v>560774</v>
      </c>
      <c r="E36" s="69">
        <f>SUM(E30:E35)</f>
        <v>5037138</v>
      </c>
      <c r="F36" s="69"/>
      <c r="G36" s="56">
        <f>SUM(G30:G35)</f>
        <v>262687.05240000004</v>
      </c>
      <c r="H36" s="56">
        <f>SUM(H30:H35)</f>
        <v>4774450.9475999996</v>
      </c>
      <c r="I36" s="56">
        <f>SUM(I30:I35)</f>
        <v>119361.27368999999</v>
      </c>
      <c r="J36" s="56">
        <f>SUM(J30:J35)</f>
        <v>95489.018951999999</v>
      </c>
      <c r="K36" s="56">
        <f>SUM(K30:K35)</f>
        <v>23872.254737999996</v>
      </c>
    </row>
    <row r="37" spans="1:11">
      <c r="A37" s="217"/>
      <c r="B37" s="3"/>
      <c r="C37" s="68"/>
      <c r="D37" s="68"/>
      <c r="E37" s="68"/>
      <c r="F37" s="169"/>
      <c r="G37" s="63"/>
      <c r="H37" s="63"/>
      <c r="I37" s="63"/>
      <c r="J37" s="63"/>
      <c r="K37" s="63"/>
    </row>
    <row r="38" spans="1:11">
      <c r="A38" s="483" t="s">
        <v>154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</row>
    <row r="39" spans="1:11">
      <c r="A39" s="486" t="s">
        <v>153</v>
      </c>
      <c r="B39" s="487" t="s">
        <v>152</v>
      </c>
      <c r="C39" s="488" t="s">
        <v>151</v>
      </c>
      <c r="D39" s="103" t="s">
        <v>150</v>
      </c>
      <c r="E39" s="106" t="s">
        <v>149</v>
      </c>
      <c r="F39" s="68"/>
      <c r="G39" s="104"/>
      <c r="H39" s="63"/>
      <c r="I39" s="63"/>
      <c r="J39" s="63"/>
      <c r="K39" s="63"/>
    </row>
    <row r="40" spans="1:11">
      <c r="A40" s="486"/>
      <c r="B40" s="487"/>
      <c r="C40" s="485"/>
      <c r="D40" s="489" t="s">
        <v>228</v>
      </c>
      <c r="E40" s="490"/>
      <c r="F40" s="491"/>
      <c r="G40" s="491"/>
      <c r="H40" s="63"/>
      <c r="I40" s="63"/>
      <c r="J40" s="63"/>
      <c r="K40" s="63"/>
    </row>
    <row r="41" spans="1:11">
      <c r="A41" s="220"/>
      <c r="B41" s="221"/>
      <c r="C41" s="95"/>
      <c r="D41" s="221"/>
      <c r="E41" s="221"/>
      <c r="F41" s="223"/>
      <c r="G41" s="223"/>
      <c r="H41" s="63"/>
      <c r="I41" s="63"/>
      <c r="J41" s="63"/>
      <c r="K41" s="63"/>
    </row>
    <row r="42" spans="1:11">
      <c r="A42" s="220">
        <v>1</v>
      </c>
      <c r="B42" s="221">
        <v>2</v>
      </c>
      <c r="C42" s="95">
        <v>3</v>
      </c>
      <c r="D42" s="95">
        <v>4</v>
      </c>
      <c r="E42" s="95">
        <v>5</v>
      </c>
      <c r="F42" s="217"/>
      <c r="G42" s="105"/>
      <c r="H42" s="63"/>
      <c r="I42" s="63"/>
      <c r="J42" s="63"/>
      <c r="K42" s="63"/>
    </row>
    <row r="43" spans="1:11">
      <c r="A43" s="66">
        <v>29</v>
      </c>
      <c r="B43" s="64" t="s">
        <v>59</v>
      </c>
      <c r="C43" s="56">
        <f t="shared" ref="C43:C48" si="7">J30</f>
        <v>277.14000000000004</v>
      </c>
      <c r="D43" s="56">
        <f t="shared" ref="D43:D48" si="8">C43*0.3</f>
        <v>83.14200000000001</v>
      </c>
      <c r="E43" s="56">
        <f t="shared" ref="E43:E48" si="9">C43-D43</f>
        <v>193.99800000000005</v>
      </c>
      <c r="F43" s="63"/>
      <c r="G43" s="63"/>
      <c r="H43" s="63"/>
      <c r="I43" s="63"/>
      <c r="J43" s="63"/>
      <c r="K43" s="63"/>
    </row>
    <row r="44" spans="1:11">
      <c r="A44" s="66">
        <v>30</v>
      </c>
      <c r="B44" s="64" t="s">
        <v>148</v>
      </c>
      <c r="C44" s="56">
        <f t="shared" si="7"/>
        <v>1276.5900000000001</v>
      </c>
      <c r="D44" s="56">
        <f t="shared" si="8"/>
        <v>382.97700000000003</v>
      </c>
      <c r="E44" s="56">
        <f t="shared" si="9"/>
        <v>893.61300000000006</v>
      </c>
      <c r="F44" s="63"/>
      <c r="G44" s="63"/>
      <c r="H44" s="63"/>
      <c r="I44" s="63"/>
      <c r="J44" s="63"/>
      <c r="K44" s="63"/>
    </row>
    <row r="45" spans="1:11">
      <c r="A45" s="66">
        <v>39</v>
      </c>
      <c r="B45" s="67" t="s">
        <v>147</v>
      </c>
      <c r="C45" s="56">
        <f t="shared" si="7"/>
        <v>26620.239952</v>
      </c>
      <c r="D45" s="56">
        <f t="shared" si="8"/>
        <v>7986.0719855999996</v>
      </c>
      <c r="E45" s="56">
        <f t="shared" si="9"/>
        <v>18634.1679664</v>
      </c>
      <c r="F45" s="63"/>
      <c r="G45" s="63"/>
      <c r="H45" s="63"/>
      <c r="I45" s="63"/>
      <c r="J45" s="63"/>
      <c r="K45" s="63"/>
    </row>
    <row r="46" spans="1:11">
      <c r="A46" s="66">
        <v>40</v>
      </c>
      <c r="B46" s="64" t="s">
        <v>146</v>
      </c>
      <c r="C46" s="56">
        <f t="shared" si="7"/>
        <v>63124.594140000001</v>
      </c>
      <c r="D46" s="56">
        <f t="shared" si="8"/>
        <v>18937.378241999999</v>
      </c>
      <c r="E46" s="56">
        <f t="shared" si="9"/>
        <v>44187.215898000002</v>
      </c>
      <c r="F46" s="63"/>
      <c r="G46" s="63"/>
      <c r="H46" s="63"/>
      <c r="I46" s="63"/>
      <c r="J46" s="63"/>
      <c r="K46" s="63"/>
    </row>
    <row r="47" spans="1:11">
      <c r="A47" s="66">
        <v>41</v>
      </c>
      <c r="B47" s="64" t="s">
        <v>145</v>
      </c>
      <c r="C47" s="56">
        <f t="shared" si="7"/>
        <v>3710.8148600000004</v>
      </c>
      <c r="D47" s="56">
        <f t="shared" si="8"/>
        <v>1113.2444580000001</v>
      </c>
      <c r="E47" s="56">
        <f t="shared" si="9"/>
        <v>2597.5704020000003</v>
      </c>
      <c r="F47" s="63"/>
      <c r="G47" s="63"/>
      <c r="H47" s="63"/>
      <c r="I47" s="63"/>
      <c r="J47" s="63"/>
      <c r="K47" s="63"/>
    </row>
    <row r="48" spans="1:11">
      <c r="A48" s="66">
        <v>45</v>
      </c>
      <c r="B48" s="64" t="s">
        <v>144</v>
      </c>
      <c r="C48" s="56">
        <f t="shared" si="7"/>
        <v>479.6400000000001</v>
      </c>
      <c r="D48" s="56">
        <f t="shared" si="8"/>
        <v>143.89200000000002</v>
      </c>
      <c r="E48" s="56">
        <f t="shared" si="9"/>
        <v>335.74800000000005</v>
      </c>
      <c r="F48" s="63"/>
      <c r="G48" s="63"/>
      <c r="H48" s="63"/>
      <c r="I48" s="63"/>
      <c r="J48" s="63"/>
      <c r="K48" s="63"/>
    </row>
    <row r="49" spans="1:17">
      <c r="A49" s="65"/>
      <c r="B49" s="64" t="s">
        <v>3</v>
      </c>
      <c r="C49" s="56">
        <f>SUM(C43:C48)</f>
        <v>95489.018951999999</v>
      </c>
      <c r="D49" s="56">
        <f>SUM(D43:D48)</f>
        <v>28646.705685599998</v>
      </c>
      <c r="E49" s="56">
        <f>SUM(E43:E48)</f>
        <v>66842.313266400015</v>
      </c>
      <c r="F49" s="174"/>
      <c r="G49" s="174"/>
      <c r="H49" s="174"/>
      <c r="I49" s="63"/>
      <c r="J49" s="63"/>
      <c r="K49" s="63"/>
    </row>
    <row r="50" spans="1:17">
      <c r="D50" s="62"/>
      <c r="E50" s="62"/>
      <c r="J50" s="62"/>
      <c r="K50" s="62"/>
    </row>
    <row r="51" spans="1:17">
      <c r="A51" s="61"/>
      <c r="B51" s="1"/>
    </row>
    <row r="54" spans="1:17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6.4">
      <c r="B55" s="97" t="s">
        <v>143</v>
      </c>
      <c r="C55" s="222" t="s">
        <v>186</v>
      </c>
      <c r="D55" s="113" t="s">
        <v>3</v>
      </c>
      <c r="E55" s="219"/>
      <c r="F55" s="219"/>
      <c r="G55" s="219"/>
      <c r="H55" s="219"/>
      <c r="I55" s="219"/>
      <c r="J55" s="483"/>
      <c r="K55" s="483"/>
      <c r="L55" s="483"/>
      <c r="M55" s="483"/>
      <c r="N55" s="483"/>
      <c r="O55" s="483"/>
      <c r="P55" s="484"/>
      <c r="Q55" s="484"/>
    </row>
    <row r="56" spans="1:17">
      <c r="B56" s="98"/>
      <c r="C56" s="94"/>
      <c r="D56" s="69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>
      <c r="B57" s="59" t="s">
        <v>66</v>
      </c>
      <c r="C57" s="57">
        <f>D71</f>
        <v>65.061112591859271</v>
      </c>
      <c r="D57" s="56">
        <f>$K$36/100*C57</f>
        <v>15531.554533305636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>
      <c r="B58" s="59" t="s">
        <v>67</v>
      </c>
      <c r="C58" s="57">
        <f t="shared" ref="C58:C63" si="10">D72</f>
        <v>4.4473213265811209</v>
      </c>
      <c r="D58" s="56">
        <f t="shared" ref="D58:D63" si="11">$K$36/100*C58</f>
        <v>1061.6758760988459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>
      <c r="B59" s="60" t="s">
        <v>68</v>
      </c>
      <c r="C59" s="57">
        <f t="shared" si="10"/>
        <v>8.795644061988348</v>
      </c>
      <c r="D59" s="56">
        <f t="shared" si="11"/>
        <v>2099.7185563256285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69</v>
      </c>
      <c r="C60" s="57">
        <f t="shared" si="10"/>
        <v>8.928911396260899</v>
      </c>
      <c r="D60" s="56">
        <f t="shared" si="11"/>
        <v>2131.5324738457139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59" t="s">
        <v>70</v>
      </c>
      <c r="C61" s="57">
        <f t="shared" si="10"/>
        <v>6.1036439096828241</v>
      </c>
      <c r="D61" s="56">
        <f t="shared" si="11"/>
        <v>1457.077422419906</v>
      </c>
      <c r="E61" s="63"/>
      <c r="F61" s="63"/>
      <c r="G61" s="63"/>
      <c r="H61" s="63"/>
      <c r="I61" s="174"/>
      <c r="J61" s="174"/>
      <c r="K61" s="63"/>
      <c r="L61" s="63"/>
      <c r="M61" s="63"/>
      <c r="N61" s="63"/>
      <c r="O61" s="63"/>
      <c r="P61" s="63"/>
      <c r="Q61" s="63"/>
    </row>
    <row r="62" spans="1:17">
      <c r="B62" s="59" t="s">
        <v>71</v>
      </c>
      <c r="C62" s="57">
        <f t="shared" si="10"/>
        <v>3.2897993374709675</v>
      </c>
      <c r="D62" s="56">
        <f t="shared" si="11"/>
        <v>785.34927821010547</v>
      </c>
      <c r="E62" s="63"/>
      <c r="F62" s="63"/>
      <c r="G62" s="63"/>
      <c r="H62" s="63"/>
      <c r="I62" s="174"/>
      <c r="J62" s="174"/>
      <c r="K62" s="63"/>
      <c r="L62" s="63"/>
      <c r="M62" s="63"/>
      <c r="N62" s="63"/>
      <c r="O62" s="63"/>
      <c r="P62" s="63"/>
      <c r="Q62" s="63"/>
    </row>
    <row r="63" spans="1:17">
      <c r="B63" s="59" t="s">
        <v>72</v>
      </c>
      <c r="C63" s="57">
        <f t="shared" si="10"/>
        <v>3.3735673761565699</v>
      </c>
      <c r="D63" s="56">
        <f t="shared" si="11"/>
        <v>805.34659779415892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8" t="s">
        <v>64</v>
      </c>
      <c r="C64" s="57">
        <v>100</v>
      </c>
      <c r="D64" s="56">
        <f>SUM(D57:D63)</f>
        <v>23872.254737999992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0">
      <c r="B65" s="55" t="s">
        <v>187</v>
      </c>
      <c r="I65" s="173"/>
      <c r="J65" s="174"/>
    </row>
    <row r="66" spans="2:10">
      <c r="I66" s="173"/>
      <c r="J66" s="174"/>
    </row>
    <row r="67" spans="2:10">
      <c r="I67" s="173"/>
      <c r="J67" s="174"/>
    </row>
    <row r="68" spans="2:10">
      <c r="B68" s="94" t="s">
        <v>188</v>
      </c>
      <c r="C68" s="69"/>
      <c r="D68" s="69"/>
      <c r="E68" s="107"/>
      <c r="F68" s="107"/>
      <c r="G68" s="107"/>
      <c r="I68" s="173"/>
      <c r="J68" s="174"/>
    </row>
    <row r="69" spans="2:10">
      <c r="B69" s="94" t="s">
        <v>143</v>
      </c>
      <c r="C69" s="69" t="s">
        <v>199</v>
      </c>
      <c r="D69" s="69"/>
      <c r="E69" s="68"/>
      <c r="F69" s="68"/>
      <c r="G69" s="68"/>
    </row>
    <row r="70" spans="2:10">
      <c r="B70" s="59"/>
      <c r="C70" s="57" t="s">
        <v>142</v>
      </c>
      <c r="D70" s="108" t="s">
        <v>191</v>
      </c>
      <c r="E70" s="68"/>
      <c r="F70" s="68"/>
      <c r="G70" s="68"/>
    </row>
    <row r="71" spans="2:10">
      <c r="B71" s="59" t="s">
        <v>66</v>
      </c>
      <c r="C71" s="57">
        <f>C87</f>
        <v>16516.799367008713</v>
      </c>
      <c r="D71" s="57">
        <f>C71/$C$78*100</f>
        <v>65.061112591859271</v>
      </c>
      <c r="E71" s="68" t="s">
        <v>227</v>
      </c>
      <c r="F71" s="68"/>
      <c r="G71" s="68"/>
    </row>
    <row r="72" spans="2:10">
      <c r="B72" s="60" t="s">
        <v>67</v>
      </c>
      <c r="C72" s="57">
        <f t="shared" ref="C72:C77" si="12">C88</f>
        <v>1129.0233312264397</v>
      </c>
      <c r="D72" s="57">
        <f t="shared" ref="D72:D77" si="13">C72/$C$78*100</f>
        <v>4.4473213265811209</v>
      </c>
      <c r="E72" s="68"/>
      <c r="F72" s="68"/>
      <c r="G72" s="68"/>
    </row>
    <row r="73" spans="2:10">
      <c r="B73" s="59" t="s">
        <v>68</v>
      </c>
      <c r="C73" s="57">
        <f t="shared" si="12"/>
        <v>2232.9142937783181</v>
      </c>
      <c r="D73" s="57">
        <f t="shared" si="13"/>
        <v>8.795644061988348</v>
      </c>
      <c r="E73" s="68"/>
      <c r="F73" s="68"/>
      <c r="G73" s="68"/>
    </row>
    <row r="74" spans="2:10">
      <c r="B74" s="59" t="s">
        <v>69</v>
      </c>
      <c r="C74" s="57">
        <f t="shared" si="12"/>
        <v>2266.7463285325352</v>
      </c>
      <c r="D74" s="57">
        <f t="shared" si="13"/>
        <v>8.928911396260899</v>
      </c>
      <c r="E74" s="68"/>
      <c r="F74" s="68"/>
      <c r="G74" s="68"/>
    </row>
    <row r="75" spans="2:10">
      <c r="B75" s="59" t="s">
        <v>70</v>
      </c>
      <c r="C75" s="57">
        <f t="shared" si="12"/>
        <v>1549.5071917431362</v>
      </c>
      <c r="D75" s="57">
        <f t="shared" si="13"/>
        <v>6.1036439096828241</v>
      </c>
      <c r="E75" s="68"/>
      <c r="F75" s="68"/>
      <c r="G75" s="68"/>
    </row>
    <row r="76" spans="2:10">
      <c r="B76" s="59" t="s">
        <v>71</v>
      </c>
      <c r="C76" s="57">
        <f t="shared" si="12"/>
        <v>835.16794364695568</v>
      </c>
      <c r="D76" s="57">
        <f t="shared" si="13"/>
        <v>3.2897993374709675</v>
      </c>
      <c r="E76" s="68"/>
      <c r="F76" s="68"/>
      <c r="G76" s="68"/>
    </row>
    <row r="77" spans="2:10">
      <c r="B77" s="58" t="s">
        <v>72</v>
      </c>
      <c r="C77" s="57">
        <f t="shared" si="12"/>
        <v>856.43379406389181</v>
      </c>
      <c r="D77" s="57">
        <f t="shared" si="13"/>
        <v>3.3735673761565699</v>
      </c>
      <c r="E77" s="68"/>
      <c r="F77" s="68"/>
      <c r="G77" s="68"/>
    </row>
    <row r="78" spans="2:10">
      <c r="B78" s="69" t="s">
        <v>64</v>
      </c>
      <c r="C78" s="57">
        <f>SUM(C71:C77)</f>
        <v>25386.592249999991</v>
      </c>
      <c r="D78" s="57">
        <f>SUM(D71:D77)</f>
        <v>100</v>
      </c>
      <c r="E78" s="68"/>
      <c r="F78" s="68"/>
      <c r="G78" s="68"/>
    </row>
    <row r="79" spans="2:10">
      <c r="B79" s="55" t="s">
        <v>192</v>
      </c>
      <c r="D79" s="55" t="s">
        <v>193</v>
      </c>
    </row>
    <row r="81" spans="2:6">
      <c r="B81" s="55" t="s">
        <v>165</v>
      </c>
    </row>
    <row r="83" spans="2:6" ht="26.4">
      <c r="B83" s="197" t="s">
        <v>240</v>
      </c>
      <c r="C83" s="55">
        <v>76600</v>
      </c>
    </row>
    <row r="84" spans="2:6">
      <c r="B84" s="197" t="s">
        <v>220</v>
      </c>
      <c r="C84" s="55">
        <v>22100</v>
      </c>
      <c r="E84" s="485" t="s">
        <v>207</v>
      </c>
      <c r="F84" s="485"/>
    </row>
    <row r="85" spans="2:6" ht="26.4">
      <c r="B85" s="94" t="s">
        <v>143</v>
      </c>
      <c r="C85" s="69" t="s">
        <v>199</v>
      </c>
      <c r="D85" s="69"/>
      <c r="E85" s="69" t="s">
        <v>219</v>
      </c>
      <c r="F85" s="172" t="s">
        <v>221</v>
      </c>
    </row>
    <row r="86" spans="2:6">
      <c r="B86" s="59"/>
      <c r="C86" s="57" t="s">
        <v>142</v>
      </c>
      <c r="D86" s="108" t="s">
        <v>191</v>
      </c>
      <c r="E86" s="69"/>
      <c r="F86" s="69"/>
    </row>
    <row r="87" spans="2:6">
      <c r="B87" s="122" t="s">
        <v>66</v>
      </c>
      <c r="C87" s="171">
        <v>16516.799367008713</v>
      </c>
      <c r="D87" s="57">
        <f>C87/$C$78*100</f>
        <v>65.061112591859271</v>
      </c>
      <c r="E87" s="57">
        <f>D87/$D$94*$C$83</f>
        <v>49836.812245364199</v>
      </c>
      <c r="F87" s="56">
        <f>$C$84*D87*0.01</f>
        <v>14378.505882800899</v>
      </c>
    </row>
    <row r="88" spans="2:6">
      <c r="B88" s="124" t="s">
        <v>67</v>
      </c>
      <c r="C88" s="171">
        <v>1129.0233312264397</v>
      </c>
      <c r="D88" s="57">
        <f t="shared" ref="D88:D93" si="14">C88/$C$78*100</f>
        <v>4.4473213265811209</v>
      </c>
      <c r="E88" s="57">
        <f t="shared" ref="E88:E93" si="15">D88/$D$94*$C$83</f>
        <v>3406.6481361611386</v>
      </c>
      <c r="F88" s="56">
        <f t="shared" ref="F88:F93" si="16">$C$84*D88*0.01</f>
        <v>982.85801317442781</v>
      </c>
    </row>
    <row r="89" spans="2:6">
      <c r="B89" s="122" t="s">
        <v>68</v>
      </c>
      <c r="C89" s="171">
        <v>2232.9142937783181</v>
      </c>
      <c r="D89" s="57">
        <f t="shared" si="14"/>
        <v>8.795644061988348</v>
      </c>
      <c r="E89" s="57">
        <f t="shared" si="15"/>
        <v>6737.4633514830739</v>
      </c>
      <c r="F89" s="56">
        <f t="shared" si="16"/>
        <v>1943.8373376994248</v>
      </c>
    </row>
    <row r="90" spans="2:6">
      <c r="B90" s="122" t="s">
        <v>69</v>
      </c>
      <c r="C90" s="171">
        <v>2266.7463285325352</v>
      </c>
      <c r="D90" s="57">
        <f t="shared" si="14"/>
        <v>8.928911396260899</v>
      </c>
      <c r="E90" s="57">
        <f t="shared" si="15"/>
        <v>6839.5461295358491</v>
      </c>
      <c r="F90" s="56">
        <f t="shared" si="16"/>
        <v>1973.2894185736586</v>
      </c>
    </row>
    <row r="91" spans="2:6">
      <c r="B91" s="122" t="s">
        <v>70</v>
      </c>
      <c r="C91" s="171">
        <v>1549.5071917431362</v>
      </c>
      <c r="D91" s="57">
        <f t="shared" si="14"/>
        <v>6.1036439096828241</v>
      </c>
      <c r="E91" s="57">
        <f t="shared" si="15"/>
        <v>4675.3912348170434</v>
      </c>
      <c r="F91" s="56">
        <f t="shared" si="16"/>
        <v>1348.9053040399042</v>
      </c>
    </row>
    <row r="92" spans="2:6">
      <c r="B92" s="122" t="s">
        <v>71</v>
      </c>
      <c r="C92" s="171">
        <v>835.16794364695568</v>
      </c>
      <c r="D92" s="57">
        <f t="shared" si="14"/>
        <v>3.2897993374709675</v>
      </c>
      <c r="E92" s="57">
        <f t="shared" si="15"/>
        <v>2519.986292502761</v>
      </c>
      <c r="F92" s="56">
        <f t="shared" si="16"/>
        <v>727.0456535810838</v>
      </c>
    </row>
    <row r="93" spans="2:6">
      <c r="B93" s="123" t="s">
        <v>72</v>
      </c>
      <c r="C93" s="171">
        <v>856.43379406389181</v>
      </c>
      <c r="D93" s="57">
        <f t="shared" si="14"/>
        <v>3.3735673761565699</v>
      </c>
      <c r="E93" s="57">
        <f t="shared" si="15"/>
        <v>2584.1526101359327</v>
      </c>
      <c r="F93" s="56">
        <f t="shared" si="16"/>
        <v>745.55839013060188</v>
      </c>
    </row>
    <row r="94" spans="2:6">
      <c r="B94" s="69" t="s">
        <v>64</v>
      </c>
      <c r="C94" s="57">
        <f>SUM(C87:C93)</f>
        <v>25386.592249999991</v>
      </c>
      <c r="D94" s="57">
        <f>SUM(D87:D93)</f>
        <v>100</v>
      </c>
      <c r="E94" s="56">
        <f>SUM(E87:E93)</f>
        <v>76599.999999999985</v>
      </c>
      <c r="F94" s="56">
        <f>SUM(F87:F93)</f>
        <v>22100</v>
      </c>
    </row>
  </sheetData>
  <mergeCells count="26">
    <mergeCell ref="K27:K28"/>
    <mergeCell ref="A38:K38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L55:M55"/>
    <mergeCell ref="N55:O55"/>
    <mergeCell ref="P55:Q55"/>
    <mergeCell ref="E84:F84"/>
    <mergeCell ref="A39:A40"/>
    <mergeCell ref="B39:B40"/>
    <mergeCell ref="C39:C40"/>
    <mergeCell ref="D40:E40"/>
    <mergeCell ref="F40:G40"/>
    <mergeCell ref="J55:K55"/>
  </mergeCells>
  <pageMargins left="0.75" right="0.75" top="1" bottom="1" header="0.5" footer="0.5"/>
  <pageSetup scale="86" orientation="landscape" r:id="rId1"/>
  <headerFooter alignWithMargins="0"/>
  <rowBreaks count="1" manualBreakCount="1">
    <brk id="37" max="10" man="1"/>
  </rowBreaks>
  <colBreaks count="1" manualBreakCount="1">
    <brk id="13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A1:I34"/>
  <sheetViews>
    <sheetView workbookViewId="0">
      <selection activeCell="F28" sqref="F28"/>
    </sheetView>
  </sheetViews>
  <sheetFormatPr defaultColWidth="9" defaultRowHeight="18"/>
  <cols>
    <col min="1" max="1" width="34" style="208" customWidth="1"/>
    <col min="2" max="3" width="18.33203125" style="208" customWidth="1"/>
    <col min="4" max="4" width="18.33203125" style="209" customWidth="1"/>
    <col min="5" max="5" width="18.33203125" style="208" customWidth="1"/>
    <col min="6" max="6" width="18.33203125" style="209" customWidth="1"/>
    <col min="7" max="16384" width="9" style="208"/>
  </cols>
  <sheetData>
    <row r="1" spans="1:9" ht="54.75" customHeight="1">
      <c r="A1" s="509" t="s">
        <v>275</v>
      </c>
      <c r="B1" s="509"/>
      <c r="C1" s="509"/>
      <c r="D1" s="509"/>
      <c r="E1" s="509"/>
      <c r="F1" s="509"/>
      <c r="G1" s="207"/>
      <c r="H1" s="207"/>
      <c r="I1" s="207"/>
    </row>
    <row r="2" spans="1:9" ht="3" customHeight="1">
      <c r="A2" s="509"/>
      <c r="B2" s="509"/>
      <c r="C2" s="509"/>
      <c r="D2" s="509"/>
      <c r="E2" s="509"/>
      <c r="F2" s="509"/>
    </row>
    <row r="3" spans="1:9">
      <c r="E3" s="510" t="s">
        <v>276</v>
      </c>
      <c r="F3" s="510"/>
    </row>
    <row r="4" spans="1:9" ht="54">
      <c r="A4" s="210"/>
      <c r="B4" s="211" t="s">
        <v>277</v>
      </c>
      <c r="C4" s="211" t="s">
        <v>278</v>
      </c>
      <c r="D4" s="211" t="s">
        <v>279</v>
      </c>
      <c r="E4" s="211" t="s">
        <v>280</v>
      </c>
      <c r="F4" s="211" t="s">
        <v>281</v>
      </c>
    </row>
    <row r="5" spans="1:9">
      <c r="A5" s="210">
        <v>1</v>
      </c>
      <c r="B5" s="211">
        <v>2</v>
      </c>
      <c r="C5" s="211">
        <v>3</v>
      </c>
      <c r="D5" s="211">
        <v>4</v>
      </c>
      <c r="E5" s="211">
        <v>5</v>
      </c>
      <c r="F5" s="211">
        <v>6</v>
      </c>
    </row>
    <row r="6" spans="1:9">
      <c r="A6" s="212" t="s">
        <v>282</v>
      </c>
      <c r="B6" s="228">
        <f>'ShareofTaxesCal-_Act 15-16'!D49</f>
        <v>28646.705685599998</v>
      </c>
      <c r="C6" s="228">
        <f>'ShareofTaxesCal-_BE 15-16 '!D49</f>
        <v>26781.632256000001</v>
      </c>
      <c r="D6" s="228">
        <f>B6-C6</f>
        <v>1865.0734295999973</v>
      </c>
      <c r="E6" s="228">
        <f>'ShareofTaxesCal-_17-18'!D49</f>
        <v>33389.043899999997</v>
      </c>
      <c r="F6" s="228">
        <f>D6+E6</f>
        <v>35254.117329599991</v>
      </c>
    </row>
    <row r="7" spans="1:9">
      <c r="A7" s="212" t="s">
        <v>283</v>
      </c>
      <c r="B7" s="228">
        <f>'ShareofTaxesCal-_Act 15-16'!E49</f>
        <v>66842.313266400015</v>
      </c>
      <c r="C7" s="228">
        <f>'ShareofTaxesCal-_BE 15-16 '!E49</f>
        <v>62490.475264000008</v>
      </c>
      <c r="D7" s="228">
        <f>B7-C7</f>
        <v>4351.8380024000071</v>
      </c>
      <c r="E7" s="228">
        <f>'ShareofTaxesCal-_17-18'!E49</f>
        <v>77907.769100000005</v>
      </c>
      <c r="F7" s="228">
        <f t="shared" ref="F7:F17" si="0">D7+E7</f>
        <v>82259.607102400012</v>
      </c>
    </row>
    <row r="8" spans="1:9">
      <c r="A8" s="212" t="s">
        <v>3</v>
      </c>
      <c r="B8" s="228">
        <f>SUM(B6:B7)</f>
        <v>95489.018952000013</v>
      </c>
      <c r="C8" s="228">
        <f>SUM(C6:C7)</f>
        <v>89272.107520000005</v>
      </c>
      <c r="D8" s="228">
        <f>SUM(D6:D7)</f>
        <v>6216.9114320000044</v>
      </c>
      <c r="E8" s="228">
        <f>SUM(E6:E7)</f>
        <v>111296.81299999999</v>
      </c>
      <c r="F8" s="228">
        <f>SUM(F6:F7)</f>
        <v>117513.724432</v>
      </c>
    </row>
    <row r="9" spans="1:9">
      <c r="A9" s="213"/>
      <c r="B9" s="229"/>
      <c r="C9" s="229"/>
      <c r="D9" s="228"/>
      <c r="E9" s="229"/>
      <c r="F9" s="228"/>
    </row>
    <row r="10" spans="1:9">
      <c r="A10" s="212" t="s">
        <v>284</v>
      </c>
      <c r="B10" s="228">
        <f>'ShareofTaxesCal-_Act 15-16'!D64</f>
        <v>23872.254737999992</v>
      </c>
      <c r="C10" s="228">
        <f>'ShareofTaxesCal-_BE 15-16 '!D64</f>
        <v>22318.026879999994</v>
      </c>
      <c r="D10" s="228">
        <f>B10-C10</f>
        <v>1554.2278579999984</v>
      </c>
      <c r="E10" s="228">
        <f>'ShareofTaxesCal-_17-18'!D64</f>
        <v>27824.203249999995</v>
      </c>
      <c r="F10" s="228">
        <f t="shared" si="0"/>
        <v>29378.431107999993</v>
      </c>
    </row>
    <row r="11" spans="1:9">
      <c r="A11" s="214" t="s">
        <v>285</v>
      </c>
      <c r="B11" s="229">
        <f>'ShareofTaxesCal-_Act 15-16'!D57</f>
        <v>15531.554533305636</v>
      </c>
      <c r="C11" s="229">
        <f>'ShareofTaxesCal-_BE 15-16 '!D57</f>
        <v>14520.356596678212</v>
      </c>
      <c r="D11" s="229">
        <f>B11-C11</f>
        <v>1011.1979366274245</v>
      </c>
      <c r="E11" s="229">
        <f>'ShareofTaxesCal-_17-18'!D57</f>
        <v>18102.736204270263</v>
      </c>
      <c r="F11" s="229">
        <f t="shared" si="0"/>
        <v>19113.934140897687</v>
      </c>
    </row>
    <row r="12" spans="1:9">
      <c r="A12" s="214" t="s">
        <v>286</v>
      </c>
      <c r="B12" s="229">
        <f>'ShareofTaxesCal-_Act 15-16'!D58</f>
        <v>1061.6758760988459</v>
      </c>
      <c r="C12" s="229">
        <f>'ShareofTaxesCal-_BE 15-16 '!D58</f>
        <v>992.55436910634683</v>
      </c>
      <c r="D12" s="229">
        <f t="shared" ref="D12:D17" si="1">B12-C12</f>
        <v>69.121506992499121</v>
      </c>
      <c r="E12" s="229">
        <f>'ShareofTaxesCal-_17-18'!D58</f>
        <v>1237.4317250885272</v>
      </c>
      <c r="F12" s="229">
        <f t="shared" si="0"/>
        <v>1306.5532320810262</v>
      </c>
    </row>
    <row r="13" spans="1:9">
      <c r="A13" s="214" t="s">
        <v>287</v>
      </c>
      <c r="B13" s="229">
        <f>'ShareofTaxesCal-_Act 15-16'!D59</f>
        <v>2099.7185563256285</v>
      </c>
      <c r="C13" s="229">
        <f>'ShareofTaxesCal-_BE 15-16 '!D59</f>
        <v>1963.0142060236828</v>
      </c>
      <c r="D13" s="229">
        <f t="shared" si="1"/>
        <v>136.70435030194562</v>
      </c>
      <c r="E13" s="229">
        <f>'ShareofTaxesCal-_17-18'!D59</f>
        <v>2447.3178809541932</v>
      </c>
      <c r="F13" s="229">
        <f t="shared" si="0"/>
        <v>2584.0222312561391</v>
      </c>
    </row>
    <row r="14" spans="1:9">
      <c r="A14" s="214" t="s">
        <v>288</v>
      </c>
      <c r="B14" s="229">
        <f>'ShareofTaxesCal-_Act 15-16'!D60</f>
        <v>2131.5324738457139</v>
      </c>
      <c r="C14" s="229">
        <f>'ShareofTaxesCal-_BE 15-16 '!D60</f>
        <v>1992.7568455088901</v>
      </c>
      <c r="D14" s="229">
        <f t="shared" si="1"/>
        <v>138.77562833682373</v>
      </c>
      <c r="E14" s="229">
        <f>'ShareofTaxesCal-_17-18'!D60</f>
        <v>2484.3984549080451</v>
      </c>
      <c r="F14" s="229">
        <f t="shared" si="0"/>
        <v>2623.1740832448686</v>
      </c>
    </row>
    <row r="15" spans="1:9">
      <c r="A15" s="214" t="s">
        <v>289</v>
      </c>
      <c r="B15" s="229">
        <f>'ShareofTaxesCal-_Act 15-16'!D61</f>
        <v>1457.077422419906</v>
      </c>
      <c r="C15" s="229">
        <f>'ShareofTaxesCal-_BE 15-16 '!D61</f>
        <v>1362.2128884224953</v>
      </c>
      <c r="D15" s="229">
        <f t="shared" si="1"/>
        <v>94.864533997410717</v>
      </c>
      <c r="E15" s="229">
        <f>'ShareofTaxesCal-_17-18'!D61</f>
        <v>1698.290287086395</v>
      </c>
      <c r="F15" s="229">
        <f t="shared" si="0"/>
        <v>1793.1548210838057</v>
      </c>
    </row>
    <row r="16" spans="1:9">
      <c r="A16" s="214" t="s">
        <v>290</v>
      </c>
      <c r="B16" s="229">
        <f>'ShareofTaxesCal-_Act 15-16'!D62</f>
        <v>785.34927821010547</v>
      </c>
      <c r="C16" s="229">
        <f>'ShareofTaxesCal-_BE 15-16 '!D62</f>
        <v>734.21830043483226</v>
      </c>
      <c r="D16" s="229">
        <f t="shared" si="1"/>
        <v>51.130977775273209</v>
      </c>
      <c r="E16" s="229">
        <f>'ShareofTaxesCal-_17-18'!D62</f>
        <v>915.36045417507523</v>
      </c>
      <c r="F16" s="229">
        <f t="shared" si="0"/>
        <v>966.49143195034844</v>
      </c>
    </row>
    <row r="17" spans="1:6">
      <c r="A17" s="214" t="s">
        <v>291</v>
      </c>
      <c r="B17" s="229">
        <f>'ShareofTaxesCal-_Act 15-16'!D63</f>
        <v>805.34659779415892</v>
      </c>
      <c r="C17" s="229">
        <f>'ShareofTaxesCal-_BE 15-16 '!D63</f>
        <v>752.91367382553381</v>
      </c>
      <c r="D17" s="229">
        <f t="shared" si="1"/>
        <v>52.432923968625119</v>
      </c>
      <c r="E17" s="229">
        <f>'ShareofTaxesCal-_17-18'!D63</f>
        <v>938.66824351749585</v>
      </c>
      <c r="F17" s="229">
        <f t="shared" si="0"/>
        <v>991.10116748612097</v>
      </c>
    </row>
    <row r="18" spans="1:6">
      <c r="B18" s="215"/>
      <c r="C18" s="215"/>
      <c r="D18" s="216"/>
      <c r="E18" s="215"/>
      <c r="F18" s="216"/>
    </row>
    <row r="19" spans="1:6">
      <c r="B19" s="215"/>
      <c r="C19" s="215"/>
      <c r="D19" s="216"/>
      <c r="E19" s="215"/>
      <c r="F19" s="216"/>
    </row>
    <row r="20" spans="1:6">
      <c r="B20" s="215"/>
      <c r="C20" s="215"/>
      <c r="D20" s="216"/>
      <c r="E20" s="215"/>
      <c r="F20" s="216"/>
    </row>
    <row r="21" spans="1:6">
      <c r="B21" s="215"/>
      <c r="C21" s="215"/>
      <c r="D21" s="216"/>
      <c r="E21" s="215"/>
      <c r="F21" s="216"/>
    </row>
    <row r="22" spans="1:6">
      <c r="B22" s="215"/>
      <c r="C22" s="215"/>
      <c r="D22" s="216"/>
      <c r="E22" s="215"/>
      <c r="F22" s="216"/>
    </row>
    <row r="23" spans="1:6">
      <c r="B23" s="215"/>
      <c r="C23" s="215"/>
      <c r="D23" s="216"/>
      <c r="E23" s="215"/>
      <c r="F23" s="216"/>
    </row>
    <row r="24" spans="1:6">
      <c r="B24" s="215"/>
      <c r="C24" s="215"/>
      <c r="D24" s="216"/>
      <c r="E24" s="215"/>
      <c r="F24" s="216"/>
    </row>
    <row r="25" spans="1:6">
      <c r="B25" s="215"/>
      <c r="C25" s="215"/>
      <c r="D25" s="216"/>
      <c r="E25" s="215"/>
      <c r="F25" s="216"/>
    </row>
    <row r="26" spans="1:6">
      <c r="B26" s="215"/>
      <c r="C26" s="215"/>
      <c r="D26" s="216"/>
      <c r="E26" s="215"/>
      <c r="F26" s="216"/>
    </row>
    <row r="27" spans="1:6">
      <c r="B27" s="215"/>
      <c r="C27" s="215"/>
      <c r="D27" s="216"/>
      <c r="E27" s="215"/>
      <c r="F27" s="216"/>
    </row>
    <row r="28" spans="1:6">
      <c r="B28" s="215"/>
      <c r="C28" s="215"/>
      <c r="D28" s="216"/>
      <c r="E28" s="215"/>
      <c r="F28" s="216"/>
    </row>
    <row r="29" spans="1:6">
      <c r="B29" s="215"/>
      <c r="C29" s="215"/>
      <c r="D29" s="216"/>
      <c r="E29" s="215"/>
      <c r="F29" s="216"/>
    </row>
    <row r="30" spans="1:6">
      <c r="B30" s="215"/>
      <c r="C30" s="215"/>
      <c r="D30" s="216"/>
      <c r="E30" s="215"/>
      <c r="F30" s="216"/>
    </row>
    <row r="31" spans="1:6">
      <c r="B31" s="215"/>
      <c r="C31" s="215"/>
      <c r="D31" s="216"/>
      <c r="E31" s="215"/>
      <c r="F31" s="216"/>
    </row>
    <row r="32" spans="1:6">
      <c r="B32" s="215"/>
      <c r="C32" s="215"/>
      <c r="D32" s="216"/>
      <c r="E32" s="215"/>
      <c r="F32" s="216"/>
    </row>
    <row r="33" spans="2:6">
      <c r="B33" s="215"/>
      <c r="C33" s="215"/>
      <c r="D33" s="216"/>
      <c r="E33" s="215"/>
      <c r="F33" s="216"/>
    </row>
    <row r="34" spans="2:6">
      <c r="B34" s="215"/>
      <c r="C34" s="215"/>
      <c r="D34" s="216"/>
      <c r="E34" s="215"/>
      <c r="F34" s="216"/>
    </row>
  </sheetData>
  <mergeCells count="2">
    <mergeCell ref="A1:F2"/>
    <mergeCell ref="E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>
    <tabColor rgb="FFFF0000"/>
  </sheetPr>
  <dimension ref="A1:Q94"/>
  <sheetViews>
    <sheetView topLeftCell="A16" zoomScale="154" zoomScaleNormal="154" zoomScaleSheetLayoutView="85" zoomScalePageLayoutView="154" workbookViewId="0">
      <selection activeCell="C33" sqref="C33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0.4414062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9.33203125" style="55" customWidth="1"/>
    <col min="10" max="11" width="10.4414062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D71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D72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 t="s">
        <v>207</v>
      </c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220" t="s">
        <v>156</v>
      </c>
      <c r="G28" s="221" t="s">
        <v>155</v>
      </c>
      <c r="H28" s="485"/>
      <c r="I28" s="508"/>
      <c r="J28" s="493"/>
      <c r="K28" s="493"/>
      <c r="M28" s="70"/>
    </row>
    <row r="29" spans="1:13" ht="22.5" customHeight="1">
      <c r="A29" s="220">
        <v>1</v>
      </c>
      <c r="B29" s="221">
        <v>2</v>
      </c>
      <c r="C29" s="220">
        <v>3</v>
      </c>
      <c r="D29" s="222">
        <v>4</v>
      </c>
      <c r="E29" s="222">
        <v>5</v>
      </c>
      <c r="F29" s="220">
        <v>6</v>
      </c>
      <c r="G29" s="221">
        <v>7</v>
      </c>
      <c r="H29" s="95">
        <v>8</v>
      </c>
      <c r="I29" s="95">
        <v>9</v>
      </c>
      <c r="J29" s="218">
        <v>10</v>
      </c>
      <c r="K29" s="218">
        <v>11</v>
      </c>
      <c r="M29" s="70"/>
    </row>
    <row r="30" spans="1:13">
      <c r="A30" s="66">
        <v>29</v>
      </c>
      <c r="B30" s="64" t="s">
        <v>59</v>
      </c>
      <c r="C30" s="170">
        <v>68896</v>
      </c>
      <c r="D30" s="170">
        <v>0</v>
      </c>
      <c r="E30" s="69">
        <f t="shared" ref="E30:E35" si="1">C30-D30</f>
        <v>68896</v>
      </c>
      <c r="F30" s="69">
        <v>25</v>
      </c>
      <c r="G30" s="56">
        <f t="shared" ref="G30:G35" si="2">E30*F30/100</f>
        <v>17224</v>
      </c>
      <c r="H30" s="56">
        <f t="shared" ref="H30:H35" si="3">E30-G30</f>
        <v>51672</v>
      </c>
      <c r="I30" s="56">
        <f t="shared" ref="I30:I35" si="4">H30*0.025</f>
        <v>1291.8000000000002</v>
      </c>
      <c r="J30" s="56">
        <f t="shared" ref="J30:J35" si="5">I30*0.8</f>
        <v>1033.4400000000003</v>
      </c>
      <c r="K30" s="56">
        <f t="shared" ref="K30:K35" si="6">I30-J30</f>
        <v>258.3599999999999</v>
      </c>
    </row>
    <row r="31" spans="1:13">
      <c r="A31" s="66">
        <v>30</v>
      </c>
      <c r="B31" s="64" t="s">
        <v>148</v>
      </c>
      <c r="C31" s="170">
        <v>78246</v>
      </c>
      <c r="D31" s="170">
        <v>0</v>
      </c>
      <c r="E31" s="69">
        <f t="shared" si="1"/>
        <v>78246</v>
      </c>
      <c r="F31" s="69">
        <v>25</v>
      </c>
      <c r="G31" s="56">
        <f t="shared" si="2"/>
        <v>19561.5</v>
      </c>
      <c r="H31" s="56">
        <f t="shared" si="3"/>
        <v>58684.5</v>
      </c>
      <c r="I31" s="56">
        <f t="shared" si="4"/>
        <v>1467.1125000000002</v>
      </c>
      <c r="J31" s="56">
        <f t="shared" si="5"/>
        <v>1173.6900000000003</v>
      </c>
      <c r="K31" s="56">
        <f t="shared" si="6"/>
        <v>293.4224999999999</v>
      </c>
    </row>
    <row r="32" spans="1:13">
      <c r="A32" s="66">
        <v>39</v>
      </c>
      <c r="B32" s="67" t="s">
        <v>147</v>
      </c>
      <c r="C32" s="170">
        <v>1550000</v>
      </c>
      <c r="D32" s="170">
        <v>0</v>
      </c>
      <c r="E32" s="69">
        <f t="shared" si="1"/>
        <v>1550000</v>
      </c>
      <c r="F32" s="69">
        <v>6.32</v>
      </c>
      <c r="G32" s="56">
        <f t="shared" si="2"/>
        <v>97960</v>
      </c>
      <c r="H32" s="56">
        <f t="shared" si="3"/>
        <v>1452040</v>
      </c>
      <c r="I32" s="56">
        <f t="shared" si="4"/>
        <v>36301</v>
      </c>
      <c r="J32" s="56">
        <f t="shared" si="5"/>
        <v>29040.800000000003</v>
      </c>
      <c r="K32" s="56">
        <f t="shared" si="6"/>
        <v>7260.1999999999971</v>
      </c>
    </row>
    <row r="33" spans="1:11">
      <c r="A33" s="66">
        <v>40</v>
      </c>
      <c r="B33" s="64" t="s">
        <v>146</v>
      </c>
      <c r="C33" s="170">
        <v>3882600</v>
      </c>
      <c r="D33" s="170">
        <v>0</v>
      </c>
      <c r="E33" s="69">
        <f t="shared" si="1"/>
        <v>3882600</v>
      </c>
      <c r="F33" s="69">
        <v>3.1</v>
      </c>
      <c r="G33" s="56">
        <f t="shared" si="2"/>
        <v>120360.6</v>
      </c>
      <c r="H33" s="56">
        <f t="shared" si="3"/>
        <v>3762239.4</v>
      </c>
      <c r="I33" s="56">
        <f t="shared" si="4"/>
        <v>94055.985000000001</v>
      </c>
      <c r="J33" s="56">
        <f t="shared" si="5"/>
        <v>75244.788</v>
      </c>
      <c r="K33" s="56">
        <f t="shared" si="6"/>
        <v>18811.197</v>
      </c>
    </row>
    <row r="34" spans="1:11">
      <c r="A34" s="66">
        <v>41</v>
      </c>
      <c r="B34" s="64" t="s">
        <v>145</v>
      </c>
      <c r="C34" s="170">
        <v>285000</v>
      </c>
      <c r="D34" s="170">
        <v>0</v>
      </c>
      <c r="E34" s="69">
        <f t="shared" si="1"/>
        <v>285000</v>
      </c>
      <c r="F34" s="69">
        <v>17.010000000000002</v>
      </c>
      <c r="G34" s="56">
        <f t="shared" si="2"/>
        <v>48478.5</v>
      </c>
      <c r="H34" s="56">
        <f t="shared" si="3"/>
        <v>236521.5</v>
      </c>
      <c r="I34" s="56">
        <f t="shared" si="4"/>
        <v>5913.0375000000004</v>
      </c>
      <c r="J34" s="56">
        <f t="shared" si="5"/>
        <v>4730.43</v>
      </c>
      <c r="K34" s="56">
        <f t="shared" si="6"/>
        <v>1182.6075000000001</v>
      </c>
    </row>
    <row r="35" spans="1:11">
      <c r="A35" s="66">
        <v>45</v>
      </c>
      <c r="B35" s="64" t="s">
        <v>144</v>
      </c>
      <c r="C35" s="170">
        <v>728388</v>
      </c>
      <c r="D35" s="170">
        <v>723477</v>
      </c>
      <c r="E35" s="69">
        <f t="shared" si="1"/>
        <v>4911</v>
      </c>
      <c r="F35" s="69">
        <v>25</v>
      </c>
      <c r="G35" s="56">
        <f t="shared" si="2"/>
        <v>1227.75</v>
      </c>
      <c r="H35" s="56">
        <f t="shared" si="3"/>
        <v>3683.25</v>
      </c>
      <c r="I35" s="56">
        <f t="shared" si="4"/>
        <v>92.081250000000011</v>
      </c>
      <c r="J35" s="56">
        <f t="shared" si="5"/>
        <v>73.665000000000006</v>
      </c>
      <c r="K35" s="56">
        <f t="shared" si="6"/>
        <v>18.416250000000005</v>
      </c>
    </row>
    <row r="36" spans="1:11">
      <c r="A36" s="65"/>
      <c r="B36" s="64" t="s">
        <v>3</v>
      </c>
      <c r="C36" s="170">
        <f>SUM(C30:C35)</f>
        <v>6593130</v>
      </c>
      <c r="D36" s="170">
        <f>SUM(D30:D35)</f>
        <v>723477</v>
      </c>
      <c r="E36" s="69">
        <f>SUM(E30:E35)</f>
        <v>5869653</v>
      </c>
      <c r="F36" s="69"/>
      <c r="G36" s="56">
        <f>SUM(G30:G35)</f>
        <v>304812.34999999998</v>
      </c>
      <c r="H36" s="56">
        <f>SUM(H30:H35)</f>
        <v>5564840.6500000004</v>
      </c>
      <c r="I36" s="56">
        <f>SUM(I30:I35)</f>
        <v>139121.01624999999</v>
      </c>
      <c r="J36" s="56">
        <f>SUM(J30:J35)</f>
        <v>111296.81300000001</v>
      </c>
      <c r="K36" s="56">
        <f>SUM(K30:K35)</f>
        <v>27824.203249999995</v>
      </c>
    </row>
    <row r="37" spans="1:11">
      <c r="A37" s="217"/>
      <c r="B37" s="3"/>
      <c r="C37" s="68"/>
      <c r="D37" s="68"/>
      <c r="E37" s="68"/>
      <c r="F37" s="169"/>
      <c r="G37" s="63"/>
      <c r="H37" s="63"/>
      <c r="I37" s="63"/>
      <c r="J37" s="63"/>
      <c r="K37" s="63"/>
    </row>
    <row r="38" spans="1:11">
      <c r="A38" s="483" t="s">
        <v>154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</row>
    <row r="39" spans="1:11">
      <c r="A39" s="486" t="s">
        <v>153</v>
      </c>
      <c r="B39" s="487" t="s">
        <v>152</v>
      </c>
      <c r="C39" s="488" t="s">
        <v>151</v>
      </c>
      <c r="D39" s="103" t="s">
        <v>150</v>
      </c>
      <c r="E39" s="106" t="s">
        <v>149</v>
      </c>
      <c r="F39" s="68"/>
      <c r="G39" s="104"/>
      <c r="H39" s="63"/>
      <c r="I39" s="63"/>
      <c r="J39" s="63"/>
      <c r="K39" s="63"/>
    </row>
    <row r="40" spans="1:11">
      <c r="A40" s="486"/>
      <c r="B40" s="487"/>
      <c r="C40" s="485"/>
      <c r="D40" s="489" t="s">
        <v>228</v>
      </c>
      <c r="E40" s="490"/>
      <c r="F40" s="491"/>
      <c r="G40" s="491"/>
      <c r="H40" s="63"/>
      <c r="I40" s="63"/>
      <c r="J40" s="63"/>
      <c r="K40" s="63"/>
    </row>
    <row r="41" spans="1:11">
      <c r="A41" s="220"/>
      <c r="B41" s="221"/>
      <c r="C41" s="95"/>
      <c r="D41" s="221"/>
      <c r="E41" s="221"/>
      <c r="F41" s="223"/>
      <c r="G41" s="223"/>
      <c r="H41" s="63"/>
      <c r="I41" s="63"/>
      <c r="J41" s="63"/>
      <c r="K41" s="63"/>
    </row>
    <row r="42" spans="1:11">
      <c r="A42" s="220">
        <v>1</v>
      </c>
      <c r="B42" s="221">
        <v>2</v>
      </c>
      <c r="C42" s="95">
        <v>3</v>
      </c>
      <c r="D42" s="95">
        <v>4</v>
      </c>
      <c r="E42" s="95">
        <v>5</v>
      </c>
      <c r="F42" s="217"/>
      <c r="G42" s="105"/>
      <c r="H42" s="63"/>
      <c r="I42" s="63"/>
      <c r="J42" s="63"/>
      <c r="K42" s="63"/>
    </row>
    <row r="43" spans="1:11">
      <c r="A43" s="66">
        <v>29</v>
      </c>
      <c r="B43" s="64" t="s">
        <v>59</v>
      </c>
      <c r="C43" s="56">
        <f t="shared" ref="C43:C48" si="7">J30</f>
        <v>1033.4400000000003</v>
      </c>
      <c r="D43" s="56">
        <f t="shared" ref="D43:D48" si="8">C43*0.3</f>
        <v>310.0320000000001</v>
      </c>
      <c r="E43" s="56">
        <f t="shared" ref="E43:E48" si="9">C43-D43</f>
        <v>723.40800000000013</v>
      </c>
      <c r="F43" s="63"/>
      <c r="G43" s="63"/>
      <c r="H43" s="63"/>
      <c r="I43" s="63"/>
      <c r="J43" s="63"/>
      <c r="K43" s="63"/>
    </row>
    <row r="44" spans="1:11">
      <c r="A44" s="66">
        <v>30</v>
      </c>
      <c r="B44" s="64" t="s">
        <v>148</v>
      </c>
      <c r="C44" s="56">
        <f t="shared" si="7"/>
        <v>1173.6900000000003</v>
      </c>
      <c r="D44" s="56">
        <f t="shared" si="8"/>
        <v>352.10700000000008</v>
      </c>
      <c r="E44" s="56">
        <f t="shared" si="9"/>
        <v>821.5830000000002</v>
      </c>
      <c r="F44" s="63"/>
      <c r="G44" s="63"/>
      <c r="H44" s="63"/>
      <c r="I44" s="63"/>
      <c r="J44" s="63"/>
      <c r="K44" s="63"/>
    </row>
    <row r="45" spans="1:11">
      <c r="A45" s="66">
        <v>39</v>
      </c>
      <c r="B45" s="67" t="s">
        <v>147</v>
      </c>
      <c r="C45" s="56">
        <f t="shared" si="7"/>
        <v>29040.800000000003</v>
      </c>
      <c r="D45" s="56">
        <f t="shared" si="8"/>
        <v>8712.24</v>
      </c>
      <c r="E45" s="56">
        <f t="shared" si="9"/>
        <v>20328.560000000005</v>
      </c>
      <c r="F45" s="63"/>
      <c r="G45" s="63"/>
      <c r="H45" s="63"/>
      <c r="I45" s="63"/>
      <c r="J45" s="63"/>
      <c r="K45" s="63"/>
    </row>
    <row r="46" spans="1:11">
      <c r="A46" s="66">
        <v>40</v>
      </c>
      <c r="B46" s="64" t="s">
        <v>146</v>
      </c>
      <c r="C46" s="56">
        <f t="shared" si="7"/>
        <v>75244.788</v>
      </c>
      <c r="D46" s="56">
        <f t="shared" si="8"/>
        <v>22573.436399999999</v>
      </c>
      <c r="E46" s="56">
        <f t="shared" si="9"/>
        <v>52671.351600000002</v>
      </c>
      <c r="F46" s="63"/>
      <c r="G46" s="63"/>
      <c r="H46" s="63"/>
      <c r="I46" s="63"/>
      <c r="J46" s="63"/>
      <c r="K46" s="63"/>
    </row>
    <row r="47" spans="1:11">
      <c r="A47" s="66">
        <v>41</v>
      </c>
      <c r="B47" s="64" t="s">
        <v>145</v>
      </c>
      <c r="C47" s="56">
        <f t="shared" si="7"/>
        <v>4730.43</v>
      </c>
      <c r="D47" s="56">
        <f t="shared" si="8"/>
        <v>1419.1290000000001</v>
      </c>
      <c r="E47" s="56">
        <f t="shared" si="9"/>
        <v>3311.3010000000004</v>
      </c>
      <c r="F47" s="63"/>
      <c r="G47" s="63"/>
      <c r="H47" s="63"/>
      <c r="I47" s="63"/>
      <c r="J47" s="63"/>
      <c r="K47" s="63"/>
    </row>
    <row r="48" spans="1:11">
      <c r="A48" s="66">
        <v>45</v>
      </c>
      <c r="B48" s="64" t="s">
        <v>144</v>
      </c>
      <c r="C48" s="56">
        <f t="shared" si="7"/>
        <v>73.665000000000006</v>
      </c>
      <c r="D48" s="56">
        <f t="shared" si="8"/>
        <v>22.099500000000003</v>
      </c>
      <c r="E48" s="56">
        <f t="shared" si="9"/>
        <v>51.5655</v>
      </c>
      <c r="F48" s="63"/>
      <c r="G48" s="63"/>
      <c r="H48" s="63"/>
      <c r="I48" s="63"/>
      <c r="J48" s="63"/>
      <c r="K48" s="63"/>
    </row>
    <row r="49" spans="1:17">
      <c r="A49" s="65"/>
      <c r="B49" s="64" t="s">
        <v>3</v>
      </c>
      <c r="C49" s="56">
        <f>SUM(C43:C48)</f>
        <v>111296.81300000001</v>
      </c>
      <c r="D49" s="56">
        <f>SUM(D43:D48)</f>
        <v>33389.043899999997</v>
      </c>
      <c r="E49" s="56">
        <f>SUM(E43:E48)</f>
        <v>77907.769100000005</v>
      </c>
      <c r="F49" s="174"/>
      <c r="G49" s="174"/>
      <c r="H49" s="174"/>
      <c r="I49" s="63"/>
      <c r="J49" s="63"/>
      <c r="K49" s="63"/>
    </row>
    <row r="50" spans="1:17">
      <c r="D50" s="62"/>
      <c r="E50" s="62"/>
      <c r="J50" s="62"/>
      <c r="K50" s="62"/>
    </row>
    <row r="51" spans="1:17">
      <c r="A51" s="61"/>
      <c r="B51" s="1"/>
    </row>
    <row r="54" spans="1:17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6.4">
      <c r="B55" s="97" t="s">
        <v>143</v>
      </c>
      <c r="C55" s="222" t="s">
        <v>186</v>
      </c>
      <c r="D55" s="113" t="s">
        <v>3</v>
      </c>
      <c r="E55" s="219"/>
      <c r="F55" s="219"/>
      <c r="G55" s="219"/>
      <c r="H55" s="219"/>
      <c r="I55" s="219"/>
      <c r="J55" s="483"/>
      <c r="K55" s="483"/>
      <c r="L55" s="483"/>
      <c r="M55" s="483"/>
      <c r="N55" s="483"/>
      <c r="O55" s="483"/>
      <c r="P55" s="484"/>
      <c r="Q55" s="484"/>
    </row>
    <row r="56" spans="1:17">
      <c r="B56" s="98"/>
      <c r="C56" s="94"/>
      <c r="D56" s="69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>
      <c r="B57" s="59" t="s">
        <v>66</v>
      </c>
      <c r="C57" s="57">
        <f>D71</f>
        <v>65.061112591859271</v>
      </c>
      <c r="D57" s="56">
        <f>$K$36/100*C57</f>
        <v>18102.736204270263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>
      <c r="B58" s="59" t="s">
        <v>67</v>
      </c>
      <c r="C58" s="57">
        <f t="shared" ref="C58:C63" si="10">D72</f>
        <v>4.4473213265811209</v>
      </c>
      <c r="D58" s="56">
        <f t="shared" ref="D58:D63" si="11">$K$36/100*C58</f>
        <v>1237.4317250885272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>
      <c r="B59" s="60" t="s">
        <v>68</v>
      </c>
      <c r="C59" s="57">
        <f t="shared" si="10"/>
        <v>8.795644061988348</v>
      </c>
      <c r="D59" s="56">
        <f t="shared" si="11"/>
        <v>2447.3178809541932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69</v>
      </c>
      <c r="C60" s="57">
        <f t="shared" si="10"/>
        <v>8.928911396260899</v>
      </c>
      <c r="D60" s="56">
        <f t="shared" si="11"/>
        <v>2484.3984549080451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59" t="s">
        <v>70</v>
      </c>
      <c r="C61" s="57">
        <f t="shared" si="10"/>
        <v>6.1036439096828241</v>
      </c>
      <c r="D61" s="56">
        <f t="shared" si="11"/>
        <v>1698.290287086395</v>
      </c>
      <c r="E61" s="63"/>
      <c r="F61" s="63"/>
      <c r="G61" s="63"/>
      <c r="H61" s="63"/>
      <c r="I61" s="174"/>
      <c r="J61" s="174"/>
      <c r="K61" s="63"/>
      <c r="L61" s="63"/>
      <c r="M61" s="63"/>
      <c r="N61" s="63"/>
      <c r="O61" s="63"/>
      <c r="P61" s="63"/>
      <c r="Q61" s="63"/>
    </row>
    <row r="62" spans="1:17">
      <c r="B62" s="59" t="s">
        <v>71</v>
      </c>
      <c r="C62" s="57">
        <f t="shared" si="10"/>
        <v>3.2897993374709675</v>
      </c>
      <c r="D62" s="56">
        <f t="shared" si="11"/>
        <v>915.36045417507523</v>
      </c>
      <c r="E62" s="63"/>
      <c r="F62" s="63"/>
      <c r="G62" s="63"/>
      <c r="H62" s="63"/>
      <c r="I62" s="174"/>
      <c r="J62" s="174"/>
      <c r="K62" s="63"/>
      <c r="L62" s="63"/>
      <c r="M62" s="63"/>
      <c r="N62" s="63"/>
      <c r="O62" s="63"/>
      <c r="P62" s="63"/>
      <c r="Q62" s="63"/>
    </row>
    <row r="63" spans="1:17">
      <c r="B63" s="59" t="s">
        <v>72</v>
      </c>
      <c r="C63" s="57">
        <f t="shared" si="10"/>
        <v>3.3735673761565699</v>
      </c>
      <c r="D63" s="56">
        <f t="shared" si="11"/>
        <v>938.66824351749585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8" t="s">
        <v>64</v>
      </c>
      <c r="C64" s="57">
        <v>100</v>
      </c>
      <c r="D64" s="56">
        <f>SUM(D57:D63)</f>
        <v>27824.203249999995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0">
      <c r="B65" s="55" t="s">
        <v>187</v>
      </c>
      <c r="I65" s="173"/>
      <c r="J65" s="174"/>
    </row>
    <row r="66" spans="2:10">
      <c r="I66" s="173"/>
      <c r="J66" s="174"/>
    </row>
    <row r="67" spans="2:10">
      <c r="I67" s="173"/>
      <c r="J67" s="174"/>
    </row>
    <row r="68" spans="2:10">
      <c r="B68" s="94" t="s">
        <v>188</v>
      </c>
      <c r="C68" s="69"/>
      <c r="D68" s="69"/>
      <c r="E68" s="107"/>
      <c r="F68" s="107"/>
      <c r="G68" s="107"/>
      <c r="I68" s="173"/>
      <c r="J68" s="174"/>
    </row>
    <row r="69" spans="2:10">
      <c r="B69" s="94" t="s">
        <v>143</v>
      </c>
      <c r="C69" s="69" t="s">
        <v>199</v>
      </c>
      <c r="D69" s="69"/>
      <c r="E69" s="68"/>
      <c r="F69" s="68"/>
      <c r="G69" s="68"/>
    </row>
    <row r="70" spans="2:10">
      <c r="B70" s="59"/>
      <c r="C70" s="57" t="s">
        <v>142</v>
      </c>
      <c r="D70" s="108" t="s">
        <v>191</v>
      </c>
      <c r="E70" s="68"/>
      <c r="F70" s="68"/>
      <c r="G70" s="68"/>
    </row>
    <row r="71" spans="2:10">
      <c r="B71" s="59" t="s">
        <v>66</v>
      </c>
      <c r="C71" s="57">
        <f>C87</f>
        <v>16516.799367008713</v>
      </c>
      <c r="D71" s="57">
        <f>C71/$C$78*100</f>
        <v>65.061112591859271</v>
      </c>
      <c r="E71" s="68" t="s">
        <v>227</v>
      </c>
      <c r="F71" s="68"/>
      <c r="G71" s="68"/>
    </row>
    <row r="72" spans="2:10">
      <c r="B72" s="60" t="s">
        <v>67</v>
      </c>
      <c r="C72" s="57">
        <f t="shared" ref="C72:C77" si="12">C88</f>
        <v>1129.0233312264397</v>
      </c>
      <c r="D72" s="57">
        <f t="shared" ref="D72:D77" si="13">C72/$C$78*100</f>
        <v>4.4473213265811209</v>
      </c>
      <c r="E72" s="68"/>
      <c r="F72" s="68"/>
      <c r="G72" s="68"/>
    </row>
    <row r="73" spans="2:10">
      <c r="B73" s="59" t="s">
        <v>68</v>
      </c>
      <c r="C73" s="57">
        <f t="shared" si="12"/>
        <v>2232.9142937783181</v>
      </c>
      <c r="D73" s="57">
        <f t="shared" si="13"/>
        <v>8.795644061988348</v>
      </c>
      <c r="E73" s="68"/>
      <c r="F73" s="68"/>
      <c r="G73" s="68"/>
    </row>
    <row r="74" spans="2:10">
      <c r="B74" s="59" t="s">
        <v>69</v>
      </c>
      <c r="C74" s="57">
        <f t="shared" si="12"/>
        <v>2266.7463285325352</v>
      </c>
      <c r="D74" s="57">
        <f t="shared" si="13"/>
        <v>8.928911396260899</v>
      </c>
      <c r="E74" s="68"/>
      <c r="F74" s="68"/>
      <c r="G74" s="68"/>
    </row>
    <row r="75" spans="2:10">
      <c r="B75" s="59" t="s">
        <v>70</v>
      </c>
      <c r="C75" s="57">
        <f t="shared" si="12"/>
        <v>1549.5071917431362</v>
      </c>
      <c r="D75" s="57">
        <f t="shared" si="13"/>
        <v>6.1036439096828241</v>
      </c>
      <c r="E75" s="68"/>
      <c r="F75" s="68"/>
      <c r="G75" s="68"/>
    </row>
    <row r="76" spans="2:10">
      <c r="B76" s="59" t="s">
        <v>71</v>
      </c>
      <c r="C76" s="57">
        <f t="shared" si="12"/>
        <v>835.16794364695568</v>
      </c>
      <c r="D76" s="57">
        <f t="shared" si="13"/>
        <v>3.2897993374709675</v>
      </c>
      <c r="E76" s="68"/>
      <c r="F76" s="68"/>
      <c r="G76" s="68"/>
    </row>
    <row r="77" spans="2:10">
      <c r="B77" s="58" t="s">
        <v>72</v>
      </c>
      <c r="C77" s="57">
        <f t="shared" si="12"/>
        <v>856.43379406389181</v>
      </c>
      <c r="D77" s="57">
        <f t="shared" si="13"/>
        <v>3.3735673761565699</v>
      </c>
      <c r="E77" s="68"/>
      <c r="F77" s="68"/>
      <c r="G77" s="68"/>
    </row>
    <row r="78" spans="2:10">
      <c r="B78" s="69" t="s">
        <v>64</v>
      </c>
      <c r="C78" s="57">
        <f>SUM(C71:C77)</f>
        <v>25386.592249999991</v>
      </c>
      <c r="D78" s="57">
        <f>SUM(D71:D77)</f>
        <v>100</v>
      </c>
      <c r="E78" s="68"/>
      <c r="F78" s="68"/>
      <c r="G78" s="68"/>
    </row>
    <row r="79" spans="2:10">
      <c r="B79" s="55" t="s">
        <v>192</v>
      </c>
      <c r="D79" s="55" t="s">
        <v>193</v>
      </c>
    </row>
    <row r="81" spans="2:6">
      <c r="B81" s="55" t="s">
        <v>165</v>
      </c>
    </row>
    <row r="83" spans="2:6" ht="26.4">
      <c r="B83" s="197" t="s">
        <v>240</v>
      </c>
      <c r="C83" s="55">
        <v>76600</v>
      </c>
    </row>
    <row r="84" spans="2:6">
      <c r="B84" s="197" t="s">
        <v>220</v>
      </c>
      <c r="C84" s="55">
        <v>22100</v>
      </c>
      <c r="E84" s="485" t="s">
        <v>207</v>
      </c>
      <c r="F84" s="485"/>
    </row>
    <row r="85" spans="2:6" ht="26.4">
      <c r="B85" s="94" t="s">
        <v>143</v>
      </c>
      <c r="C85" s="69" t="s">
        <v>199</v>
      </c>
      <c r="D85" s="69"/>
      <c r="E85" s="69" t="s">
        <v>219</v>
      </c>
      <c r="F85" s="172" t="s">
        <v>221</v>
      </c>
    </row>
    <row r="86" spans="2:6">
      <c r="B86" s="59"/>
      <c r="C86" s="57" t="s">
        <v>142</v>
      </c>
      <c r="D86" s="108" t="s">
        <v>191</v>
      </c>
      <c r="E86" s="69"/>
      <c r="F86" s="69"/>
    </row>
    <row r="87" spans="2:6">
      <c r="B87" s="122" t="s">
        <v>66</v>
      </c>
      <c r="C87" s="171">
        <v>16516.799367008713</v>
      </c>
      <c r="D87" s="57">
        <f>C87/$C$78*100</f>
        <v>65.061112591859271</v>
      </c>
      <c r="E87" s="57">
        <f>D87/$D$94*$C$83</f>
        <v>49836.812245364199</v>
      </c>
      <c r="F87" s="56">
        <f>$C$84*D87*0.01</f>
        <v>14378.505882800899</v>
      </c>
    </row>
    <row r="88" spans="2:6">
      <c r="B88" s="124" t="s">
        <v>67</v>
      </c>
      <c r="C88" s="171">
        <v>1129.0233312264397</v>
      </c>
      <c r="D88" s="57">
        <f t="shared" ref="D88:D93" si="14">C88/$C$78*100</f>
        <v>4.4473213265811209</v>
      </c>
      <c r="E88" s="57">
        <f t="shared" ref="E88:E93" si="15">D88/$D$94*$C$83</f>
        <v>3406.6481361611386</v>
      </c>
      <c r="F88" s="56">
        <f t="shared" ref="F88:F93" si="16">$C$84*D88*0.01</f>
        <v>982.85801317442781</v>
      </c>
    </row>
    <row r="89" spans="2:6">
      <c r="B89" s="122" t="s">
        <v>68</v>
      </c>
      <c r="C89" s="171">
        <v>2232.9142937783181</v>
      </c>
      <c r="D89" s="57">
        <f t="shared" si="14"/>
        <v>8.795644061988348</v>
      </c>
      <c r="E89" s="57">
        <f t="shared" si="15"/>
        <v>6737.4633514830739</v>
      </c>
      <c r="F89" s="56">
        <f t="shared" si="16"/>
        <v>1943.8373376994248</v>
      </c>
    </row>
    <row r="90" spans="2:6">
      <c r="B90" s="122" t="s">
        <v>69</v>
      </c>
      <c r="C90" s="171">
        <v>2266.7463285325352</v>
      </c>
      <c r="D90" s="57">
        <f t="shared" si="14"/>
        <v>8.928911396260899</v>
      </c>
      <c r="E90" s="57">
        <f t="shared" si="15"/>
        <v>6839.5461295358491</v>
      </c>
      <c r="F90" s="56">
        <f t="shared" si="16"/>
        <v>1973.2894185736586</v>
      </c>
    </row>
    <row r="91" spans="2:6">
      <c r="B91" s="122" t="s">
        <v>70</v>
      </c>
      <c r="C91" s="171">
        <v>1549.5071917431362</v>
      </c>
      <c r="D91" s="57">
        <f t="shared" si="14"/>
        <v>6.1036439096828241</v>
      </c>
      <c r="E91" s="57">
        <f t="shared" si="15"/>
        <v>4675.3912348170434</v>
      </c>
      <c r="F91" s="56">
        <f t="shared" si="16"/>
        <v>1348.9053040399042</v>
      </c>
    </row>
    <row r="92" spans="2:6">
      <c r="B92" s="122" t="s">
        <v>71</v>
      </c>
      <c r="C92" s="171">
        <v>835.16794364695568</v>
      </c>
      <c r="D92" s="57">
        <f t="shared" si="14"/>
        <v>3.2897993374709675</v>
      </c>
      <c r="E92" s="57">
        <f t="shared" si="15"/>
        <v>2519.986292502761</v>
      </c>
      <c r="F92" s="56">
        <f t="shared" si="16"/>
        <v>727.0456535810838</v>
      </c>
    </row>
    <row r="93" spans="2:6">
      <c r="B93" s="123" t="s">
        <v>72</v>
      </c>
      <c r="C93" s="171">
        <v>856.43379406389181</v>
      </c>
      <c r="D93" s="57">
        <f t="shared" si="14"/>
        <v>3.3735673761565699</v>
      </c>
      <c r="E93" s="57">
        <f t="shared" si="15"/>
        <v>2584.1526101359327</v>
      </c>
      <c r="F93" s="56">
        <f t="shared" si="16"/>
        <v>745.55839013060188</v>
      </c>
    </row>
    <row r="94" spans="2:6">
      <c r="B94" s="69" t="s">
        <v>64</v>
      </c>
      <c r="C94" s="57">
        <f>SUM(C87:C93)</f>
        <v>25386.592249999991</v>
      </c>
      <c r="D94" s="57">
        <f>SUM(D87:D93)</f>
        <v>100</v>
      </c>
      <c r="E94" s="56">
        <f>SUM(E87:E93)</f>
        <v>76599.999999999985</v>
      </c>
      <c r="F94" s="56">
        <f>SUM(F87:F93)</f>
        <v>22100</v>
      </c>
    </row>
  </sheetData>
  <mergeCells count="26">
    <mergeCell ref="K27:K28"/>
    <mergeCell ref="A38:K38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L55:M55"/>
    <mergeCell ref="N55:O55"/>
    <mergeCell ref="P55:Q55"/>
    <mergeCell ref="E84:F84"/>
    <mergeCell ref="A39:A40"/>
    <mergeCell ref="B39:B40"/>
    <mergeCell ref="C39:C40"/>
    <mergeCell ref="D40:E40"/>
    <mergeCell ref="F40:G40"/>
    <mergeCell ref="J55:K55"/>
  </mergeCells>
  <pageMargins left="0.75" right="0.75" top="1" bottom="1" header="0.5" footer="0.5"/>
  <pageSetup scale="86" orientation="landscape" r:id="rId1"/>
  <headerFooter alignWithMargins="0"/>
  <rowBreaks count="1" manualBreakCount="1">
    <brk id="37" max="10" man="1"/>
  </rowBreaks>
  <colBreaks count="1" manualBreakCount="1">
    <brk id="13" max="4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tabColor rgb="FF00B050"/>
  </sheetPr>
  <dimension ref="A1:Q94"/>
  <sheetViews>
    <sheetView topLeftCell="A31" zoomScale="98" zoomScaleNormal="98" zoomScaleSheetLayoutView="85" workbookViewId="0">
      <selection activeCell="J46" sqref="J46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0.554687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9.33203125" style="55" customWidth="1"/>
    <col min="10" max="11" width="10.5546875" style="55" bestFit="1" customWidth="1"/>
    <col min="12" max="12" width="9.44140625" style="55" bestFit="1" customWidth="1"/>
    <col min="13" max="13" width="10.554687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D71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D72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>
      <c r="A23" s="80"/>
      <c r="B23" s="79"/>
      <c r="C23" s="78"/>
      <c r="D23" s="78"/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267" t="s">
        <v>156</v>
      </c>
      <c r="G28" s="268" t="s">
        <v>155</v>
      </c>
      <c r="H28" s="485"/>
      <c r="I28" s="508"/>
      <c r="J28" s="493"/>
      <c r="K28" s="493"/>
      <c r="M28" s="70"/>
    </row>
    <row r="29" spans="1:13" ht="22.5" customHeight="1">
      <c r="A29" s="267">
        <v>1</v>
      </c>
      <c r="B29" s="268">
        <v>2</v>
      </c>
      <c r="C29" s="267">
        <v>3</v>
      </c>
      <c r="D29" s="272">
        <v>4</v>
      </c>
      <c r="E29" s="272">
        <v>5</v>
      </c>
      <c r="F29" s="267">
        <v>6</v>
      </c>
      <c r="G29" s="268">
        <v>7</v>
      </c>
      <c r="H29" s="266">
        <v>8</v>
      </c>
      <c r="I29" s="266">
        <v>9</v>
      </c>
      <c r="J29" s="271">
        <v>10</v>
      </c>
      <c r="K29" s="271">
        <v>11</v>
      </c>
      <c r="M29" s="70"/>
    </row>
    <row r="30" spans="1:13">
      <c r="A30" s="66">
        <v>29</v>
      </c>
      <c r="B30" s="64" t="s">
        <v>59</v>
      </c>
      <c r="C30" s="170">
        <v>68896</v>
      </c>
      <c r="D30" s="170">
        <v>0</v>
      </c>
      <c r="E30" s="69">
        <f t="shared" ref="E30:E35" si="1">C30-D30</f>
        <v>68896</v>
      </c>
      <c r="F30" s="69">
        <v>25</v>
      </c>
      <c r="G30" s="56">
        <f t="shared" ref="G30:G35" si="2">E30*F30/100</f>
        <v>17224</v>
      </c>
      <c r="H30" s="56">
        <f t="shared" ref="H30:H34" si="3">E30-G30</f>
        <v>51672</v>
      </c>
      <c r="I30" s="56">
        <f t="shared" ref="I30:I35" si="4">H30*0.025</f>
        <v>1291.8000000000002</v>
      </c>
      <c r="J30" s="56">
        <f t="shared" ref="J30:J35" si="5">I30*0.8</f>
        <v>1033.4400000000003</v>
      </c>
      <c r="K30" s="56">
        <f t="shared" ref="K30:K35" si="6">I30-J30</f>
        <v>258.3599999999999</v>
      </c>
    </row>
    <row r="31" spans="1:13">
      <c r="A31" s="66">
        <v>30</v>
      </c>
      <c r="B31" s="64" t="s">
        <v>148</v>
      </c>
      <c r="C31" s="170">
        <v>76446</v>
      </c>
      <c r="D31" s="170">
        <v>0</v>
      </c>
      <c r="E31" s="69">
        <f t="shared" si="1"/>
        <v>76446</v>
      </c>
      <c r="F31" s="69">
        <v>25</v>
      </c>
      <c r="G31" s="56">
        <f t="shared" si="2"/>
        <v>19111.5</v>
      </c>
      <c r="H31" s="56">
        <f t="shared" si="3"/>
        <v>57334.5</v>
      </c>
      <c r="I31" s="56">
        <f t="shared" si="4"/>
        <v>1433.3625000000002</v>
      </c>
      <c r="J31" s="56">
        <f t="shared" si="5"/>
        <v>1146.6900000000003</v>
      </c>
      <c r="K31" s="56">
        <f t="shared" si="6"/>
        <v>286.6724999999999</v>
      </c>
    </row>
    <row r="32" spans="1:13">
      <c r="A32" s="66">
        <v>39</v>
      </c>
      <c r="B32" s="67" t="s">
        <v>147</v>
      </c>
      <c r="C32" s="170">
        <v>1350000</v>
      </c>
      <c r="D32" s="170">
        <v>0</v>
      </c>
      <c r="E32" s="69">
        <f t="shared" si="1"/>
        <v>1350000</v>
      </c>
      <c r="F32" s="69">
        <v>6.32</v>
      </c>
      <c r="G32" s="56">
        <f t="shared" si="2"/>
        <v>85320</v>
      </c>
      <c r="H32" s="56">
        <f t="shared" si="3"/>
        <v>1264680</v>
      </c>
      <c r="I32" s="56">
        <f t="shared" si="4"/>
        <v>31617</v>
      </c>
      <c r="J32" s="56">
        <f t="shared" si="5"/>
        <v>25293.600000000002</v>
      </c>
      <c r="K32" s="56">
        <f t="shared" si="6"/>
        <v>6323.3999999999978</v>
      </c>
    </row>
    <row r="33" spans="1:11">
      <c r="A33" s="66">
        <v>40</v>
      </c>
      <c r="B33" s="64" t="s">
        <v>146</v>
      </c>
      <c r="C33" s="170">
        <v>3610000</v>
      </c>
      <c r="D33" s="170">
        <v>0</v>
      </c>
      <c r="E33" s="69">
        <f t="shared" si="1"/>
        <v>3610000</v>
      </c>
      <c r="F33" s="69">
        <v>3.1</v>
      </c>
      <c r="G33" s="56">
        <f t="shared" si="2"/>
        <v>111910</v>
      </c>
      <c r="H33" s="56">
        <f t="shared" si="3"/>
        <v>3498090</v>
      </c>
      <c r="I33" s="56">
        <f t="shared" si="4"/>
        <v>87452.25</v>
      </c>
      <c r="J33" s="56">
        <f t="shared" si="5"/>
        <v>69961.8</v>
      </c>
      <c r="K33" s="56">
        <f t="shared" si="6"/>
        <v>17490.449999999997</v>
      </c>
    </row>
    <row r="34" spans="1:11">
      <c r="A34" s="66">
        <v>41</v>
      </c>
      <c r="B34" s="64" t="s">
        <v>145</v>
      </c>
      <c r="C34" s="170">
        <v>238000</v>
      </c>
      <c r="D34" s="170">
        <v>0</v>
      </c>
      <c r="E34" s="69">
        <f t="shared" si="1"/>
        <v>238000</v>
      </c>
      <c r="F34" s="69">
        <v>17.010000000000002</v>
      </c>
      <c r="G34" s="56">
        <f t="shared" si="2"/>
        <v>40483.800000000003</v>
      </c>
      <c r="H34" s="56">
        <f t="shared" si="3"/>
        <v>197516.2</v>
      </c>
      <c r="I34" s="56">
        <f t="shared" si="4"/>
        <v>4937.9050000000007</v>
      </c>
      <c r="J34" s="56">
        <f t="shared" si="5"/>
        <v>3950.3240000000005</v>
      </c>
      <c r="K34" s="56">
        <f t="shared" si="6"/>
        <v>987.58100000000013</v>
      </c>
    </row>
    <row r="35" spans="1:11">
      <c r="A35" s="66">
        <v>45</v>
      </c>
      <c r="B35" s="64" t="s">
        <v>144</v>
      </c>
      <c r="C35" s="170">
        <v>930679</v>
      </c>
      <c r="D35" s="170">
        <v>919978</v>
      </c>
      <c r="E35" s="69">
        <f t="shared" si="1"/>
        <v>10701</v>
      </c>
      <c r="F35" s="69">
        <v>25</v>
      </c>
      <c r="G35" s="56">
        <f t="shared" si="2"/>
        <v>2675.25</v>
      </c>
      <c r="H35" s="56">
        <f>E35-G35</f>
        <v>8025.75</v>
      </c>
      <c r="I35" s="56">
        <f t="shared" si="4"/>
        <v>200.64375000000001</v>
      </c>
      <c r="J35" s="56">
        <f t="shared" si="5"/>
        <v>160.51500000000001</v>
      </c>
      <c r="K35" s="56">
        <f t="shared" si="6"/>
        <v>40.128749999999997</v>
      </c>
    </row>
    <row r="36" spans="1:11">
      <c r="A36" s="65"/>
      <c r="B36" s="64" t="s">
        <v>3</v>
      </c>
      <c r="C36" s="170">
        <f>SUM(C30:C35)</f>
        <v>6274021</v>
      </c>
      <c r="D36" s="170">
        <f>SUM(D30:D35)</f>
        <v>919978</v>
      </c>
      <c r="E36" s="69">
        <f>SUM(E30:E35)</f>
        <v>5354043</v>
      </c>
      <c r="F36" s="69"/>
      <c r="G36" s="56">
        <f>SUM(G30:G35)</f>
        <v>276724.55</v>
      </c>
      <c r="H36" s="56">
        <f>SUM(H30:H35)</f>
        <v>5077318.45</v>
      </c>
      <c r="I36" s="56">
        <f>SUM(I30:I35)</f>
        <v>126932.96125000001</v>
      </c>
      <c r="J36" s="56">
        <f>SUM(J30:J35)</f>
        <v>101546.36899999999</v>
      </c>
      <c r="K36" s="56">
        <f>SUM(K30:K35)</f>
        <v>25386.592249999991</v>
      </c>
    </row>
    <row r="37" spans="1:11">
      <c r="A37" s="265"/>
      <c r="B37" s="3"/>
      <c r="C37" s="68"/>
      <c r="D37" s="68"/>
      <c r="E37" s="68"/>
      <c r="F37" s="169"/>
      <c r="G37" s="63"/>
      <c r="H37" s="63"/>
      <c r="I37" s="63"/>
      <c r="J37" s="63"/>
      <c r="K37" s="63"/>
    </row>
    <row r="38" spans="1:11">
      <c r="A38" s="483" t="s">
        <v>154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</row>
    <row r="39" spans="1:11">
      <c r="A39" s="486" t="s">
        <v>153</v>
      </c>
      <c r="B39" s="487" t="s">
        <v>152</v>
      </c>
      <c r="C39" s="488" t="s">
        <v>151</v>
      </c>
      <c r="D39" s="103" t="s">
        <v>150</v>
      </c>
      <c r="E39" s="106" t="s">
        <v>149</v>
      </c>
      <c r="F39" s="68"/>
      <c r="G39" s="104"/>
      <c r="H39" s="63"/>
      <c r="I39" s="63"/>
      <c r="J39" s="63"/>
      <c r="K39" s="63"/>
    </row>
    <row r="40" spans="1:11">
      <c r="A40" s="486"/>
      <c r="B40" s="487"/>
      <c r="C40" s="485"/>
      <c r="D40" s="489" t="s">
        <v>228</v>
      </c>
      <c r="E40" s="490"/>
      <c r="F40" s="491"/>
      <c r="G40" s="491"/>
      <c r="H40" s="63"/>
      <c r="I40" s="63"/>
      <c r="J40" s="63"/>
      <c r="K40" s="63"/>
    </row>
    <row r="41" spans="1:11">
      <c r="A41" s="267"/>
      <c r="B41" s="268"/>
      <c r="C41" s="266"/>
      <c r="D41" s="268"/>
      <c r="E41" s="268"/>
      <c r="F41" s="270"/>
      <c r="G41" s="270"/>
      <c r="H41" s="63"/>
      <c r="I41" s="63"/>
      <c r="J41" s="63"/>
      <c r="K41" s="63"/>
    </row>
    <row r="42" spans="1:11">
      <c r="A42" s="267">
        <v>1</v>
      </c>
      <c r="B42" s="268">
        <v>2</v>
      </c>
      <c r="C42" s="266">
        <v>3</v>
      </c>
      <c r="D42" s="266">
        <v>4</v>
      </c>
      <c r="E42" s="266">
        <v>5</v>
      </c>
      <c r="F42" s="265"/>
      <c r="G42" s="105"/>
      <c r="H42" s="63"/>
      <c r="I42" s="63"/>
      <c r="J42" s="63"/>
      <c r="K42" s="63"/>
    </row>
    <row r="43" spans="1:11">
      <c r="A43" s="66">
        <v>29</v>
      </c>
      <c r="B43" s="64" t="s">
        <v>59</v>
      </c>
      <c r="C43" s="56">
        <f t="shared" ref="C43:C48" si="7">J30</f>
        <v>1033.4400000000003</v>
      </c>
      <c r="D43" s="56">
        <f>C43*0.3</f>
        <v>310.0320000000001</v>
      </c>
      <c r="E43" s="56">
        <f>C43-D43</f>
        <v>723.40800000000013</v>
      </c>
      <c r="F43" s="63"/>
      <c r="G43" s="63"/>
      <c r="H43" s="63"/>
      <c r="I43" s="63"/>
      <c r="J43" s="63"/>
      <c r="K43" s="63"/>
    </row>
    <row r="44" spans="1:11">
      <c r="A44" s="66">
        <v>30</v>
      </c>
      <c r="B44" s="64" t="s">
        <v>148</v>
      </c>
      <c r="C44" s="56">
        <f t="shared" si="7"/>
        <v>1146.6900000000003</v>
      </c>
      <c r="D44" s="56">
        <f t="shared" ref="D44:D48" si="8">C44*0.3</f>
        <v>344.00700000000006</v>
      </c>
      <c r="E44" s="56">
        <f t="shared" ref="E44:E48" si="9">C44-D44</f>
        <v>802.68300000000022</v>
      </c>
      <c r="F44" s="63"/>
      <c r="G44" s="63"/>
      <c r="H44" s="63"/>
      <c r="I44" s="63"/>
      <c r="J44" s="63"/>
      <c r="K44" s="63"/>
    </row>
    <row r="45" spans="1:11">
      <c r="A45" s="66">
        <v>39</v>
      </c>
      <c r="B45" s="67" t="s">
        <v>147</v>
      </c>
      <c r="C45" s="56">
        <f t="shared" si="7"/>
        <v>25293.600000000002</v>
      </c>
      <c r="D45" s="56">
        <f t="shared" si="8"/>
        <v>7588.08</v>
      </c>
      <c r="E45" s="56">
        <f t="shared" si="9"/>
        <v>17705.520000000004</v>
      </c>
      <c r="F45" s="63"/>
      <c r="G45" s="63"/>
      <c r="H45" s="63"/>
      <c r="I45" s="63"/>
      <c r="J45" s="63"/>
      <c r="K45" s="63"/>
    </row>
    <row r="46" spans="1:11">
      <c r="A46" s="66">
        <v>40</v>
      </c>
      <c r="B46" s="64" t="s">
        <v>146</v>
      </c>
      <c r="C46" s="56">
        <f t="shared" si="7"/>
        <v>69961.8</v>
      </c>
      <c r="D46" s="56">
        <f t="shared" si="8"/>
        <v>20988.54</v>
      </c>
      <c r="E46" s="56">
        <f t="shared" si="9"/>
        <v>48973.26</v>
      </c>
      <c r="F46" s="63"/>
      <c r="G46" s="63"/>
      <c r="H46" s="63"/>
      <c r="I46" s="63"/>
      <c r="J46" s="63"/>
      <c r="K46" s="63"/>
    </row>
    <row r="47" spans="1:11">
      <c r="A47" s="66">
        <v>41</v>
      </c>
      <c r="B47" s="64" t="s">
        <v>145</v>
      </c>
      <c r="C47" s="56">
        <f t="shared" si="7"/>
        <v>3950.3240000000005</v>
      </c>
      <c r="D47" s="56">
        <f t="shared" si="8"/>
        <v>1185.0972000000002</v>
      </c>
      <c r="E47" s="56">
        <f t="shared" si="9"/>
        <v>2765.2268000000004</v>
      </c>
      <c r="F47" s="63"/>
      <c r="G47" s="63"/>
      <c r="H47" s="63"/>
      <c r="I47" s="63"/>
      <c r="J47" s="63"/>
      <c r="K47" s="63"/>
    </row>
    <row r="48" spans="1:11">
      <c r="A48" s="66">
        <v>45</v>
      </c>
      <c r="B48" s="64" t="s">
        <v>144</v>
      </c>
      <c r="C48" s="56">
        <f t="shared" si="7"/>
        <v>160.51500000000001</v>
      </c>
      <c r="D48" s="56">
        <f t="shared" si="8"/>
        <v>48.154500000000006</v>
      </c>
      <c r="E48" s="56">
        <f t="shared" si="9"/>
        <v>112.3605</v>
      </c>
      <c r="F48" s="63"/>
      <c r="G48" s="63"/>
      <c r="H48" s="63"/>
      <c r="I48" s="63"/>
      <c r="J48" s="63"/>
      <c r="K48" s="63"/>
    </row>
    <row r="49" spans="1:17">
      <c r="A49" s="65"/>
      <c r="B49" s="64" t="s">
        <v>3</v>
      </c>
      <c r="C49" s="56">
        <f>SUM(C43:C48)</f>
        <v>101546.36899999999</v>
      </c>
      <c r="D49" s="56">
        <f>SUM(D43:D48)</f>
        <v>30463.9107</v>
      </c>
      <c r="E49" s="56">
        <f>SUM(E43:E48)</f>
        <v>71082.458300000013</v>
      </c>
      <c r="F49" s="174"/>
      <c r="G49" s="174"/>
      <c r="H49" s="174"/>
      <c r="I49" s="63"/>
      <c r="J49" s="63"/>
      <c r="K49" s="63"/>
    </row>
    <row r="50" spans="1:17">
      <c r="D50" s="62"/>
      <c r="E50" s="62"/>
      <c r="J50" s="62"/>
      <c r="K50" s="62"/>
    </row>
    <row r="51" spans="1:17">
      <c r="A51" s="61"/>
      <c r="B51" s="1"/>
    </row>
    <row r="54" spans="1:17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6.4">
      <c r="B55" s="97" t="s">
        <v>143</v>
      </c>
      <c r="C55" s="272" t="s">
        <v>186</v>
      </c>
      <c r="D55" s="113" t="s">
        <v>3</v>
      </c>
      <c r="E55" s="264"/>
      <c r="F55" s="264"/>
      <c r="G55" s="264"/>
      <c r="H55" s="264"/>
      <c r="I55" s="264"/>
      <c r="J55" s="483"/>
      <c r="K55" s="483"/>
      <c r="L55" s="483"/>
      <c r="M55" s="483"/>
      <c r="N55" s="483"/>
      <c r="O55" s="483"/>
      <c r="P55" s="484"/>
      <c r="Q55" s="484"/>
    </row>
    <row r="56" spans="1:17">
      <c r="B56" s="98"/>
      <c r="C56" s="269"/>
      <c r="D56" s="69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</row>
    <row r="57" spans="1:17">
      <c r="B57" s="59" t="s">
        <v>66</v>
      </c>
      <c r="C57" s="57">
        <f>D71</f>
        <v>65.061112591859271</v>
      </c>
      <c r="D57" s="56">
        <f>$K$36/100*C57</f>
        <v>16516.799367008713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>
      <c r="B58" s="59" t="s">
        <v>67</v>
      </c>
      <c r="C58" s="57">
        <f t="shared" ref="C58:C63" si="10">D72</f>
        <v>4.4473213265811209</v>
      </c>
      <c r="D58" s="56">
        <f t="shared" ref="D58:D63" si="11">$K$36/100*C58</f>
        <v>1129.0233312264395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>
      <c r="B59" s="60" t="s">
        <v>68</v>
      </c>
      <c r="C59" s="57">
        <f t="shared" si="10"/>
        <v>8.795644061988348</v>
      </c>
      <c r="D59" s="56">
        <f t="shared" si="11"/>
        <v>2232.9142937783181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69</v>
      </c>
      <c r="C60" s="57">
        <f t="shared" si="10"/>
        <v>8.928911396260899</v>
      </c>
      <c r="D60" s="56">
        <f t="shared" si="11"/>
        <v>2266.7463285325352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59" t="s">
        <v>70</v>
      </c>
      <c r="C61" s="57">
        <f t="shared" si="10"/>
        <v>6.1036439096828241</v>
      </c>
      <c r="D61" s="56">
        <f t="shared" si="11"/>
        <v>1549.5071917431362</v>
      </c>
      <c r="E61" s="63"/>
      <c r="F61" s="63"/>
      <c r="G61" s="63"/>
      <c r="H61" s="63"/>
      <c r="I61" s="174"/>
      <c r="J61" s="174"/>
      <c r="K61" s="63"/>
      <c r="L61" s="63"/>
      <c r="M61" s="63"/>
      <c r="N61" s="63"/>
      <c r="O61" s="63"/>
      <c r="P61" s="63"/>
      <c r="Q61" s="63"/>
    </row>
    <row r="62" spans="1:17">
      <c r="B62" s="59" t="s">
        <v>71</v>
      </c>
      <c r="C62" s="57">
        <f t="shared" si="10"/>
        <v>3.2897993374709675</v>
      </c>
      <c r="D62" s="56">
        <f t="shared" si="11"/>
        <v>835.16794364695568</v>
      </c>
      <c r="E62" s="63"/>
      <c r="F62" s="63"/>
      <c r="G62" s="63"/>
      <c r="H62" s="63"/>
      <c r="I62" s="174"/>
      <c r="J62" s="174"/>
      <c r="K62" s="63"/>
      <c r="L62" s="63"/>
      <c r="M62" s="63"/>
      <c r="N62" s="63"/>
      <c r="O62" s="63"/>
      <c r="P62" s="63"/>
      <c r="Q62" s="63"/>
    </row>
    <row r="63" spans="1:17">
      <c r="B63" s="59" t="s">
        <v>72</v>
      </c>
      <c r="C63" s="57">
        <f t="shared" si="10"/>
        <v>3.3735673761565699</v>
      </c>
      <c r="D63" s="56">
        <f t="shared" si="11"/>
        <v>856.43379406389181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8" t="s">
        <v>64</v>
      </c>
      <c r="C64" s="57">
        <v>100</v>
      </c>
      <c r="D64" s="56">
        <f>SUM(D57:D63)</f>
        <v>25386.592249999991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0">
      <c r="B65" s="55" t="s">
        <v>187</v>
      </c>
      <c r="I65" s="173"/>
      <c r="J65" s="174"/>
    </row>
    <row r="66" spans="2:10">
      <c r="I66" s="173"/>
      <c r="J66" s="174"/>
    </row>
    <row r="67" spans="2:10">
      <c r="I67" s="173"/>
      <c r="J67" s="174"/>
    </row>
    <row r="68" spans="2:10">
      <c r="B68" s="269" t="s">
        <v>188</v>
      </c>
      <c r="C68" s="69"/>
      <c r="D68" s="69"/>
      <c r="E68" s="107"/>
      <c r="F68" s="107"/>
      <c r="G68" s="107"/>
      <c r="I68" s="173"/>
      <c r="J68" s="174"/>
    </row>
    <row r="69" spans="2:10">
      <c r="B69" s="269" t="s">
        <v>143</v>
      </c>
      <c r="C69" s="69" t="s">
        <v>199</v>
      </c>
      <c r="D69" s="69"/>
      <c r="E69" s="68"/>
      <c r="F69" s="68"/>
      <c r="G69" s="68"/>
    </row>
    <row r="70" spans="2:10">
      <c r="B70" s="59"/>
      <c r="C70" s="57" t="s">
        <v>142</v>
      </c>
      <c r="D70" s="108" t="s">
        <v>191</v>
      </c>
      <c r="E70" s="68"/>
      <c r="F70" s="68"/>
      <c r="G70" s="68"/>
    </row>
    <row r="71" spans="2:10">
      <c r="B71" s="59" t="s">
        <v>66</v>
      </c>
      <c r="C71" s="57">
        <f>C87</f>
        <v>16516.799367008713</v>
      </c>
      <c r="D71" s="57">
        <f>C71/$C$78*100</f>
        <v>65.061112591859271</v>
      </c>
      <c r="E71" s="68" t="s">
        <v>227</v>
      </c>
      <c r="F71" s="68"/>
      <c r="G71" s="68"/>
    </row>
    <row r="72" spans="2:10">
      <c r="B72" s="60" t="s">
        <v>67</v>
      </c>
      <c r="C72" s="57">
        <f t="shared" ref="C72:C77" si="12">C88</f>
        <v>1129.0233312264397</v>
      </c>
      <c r="D72" s="57">
        <f t="shared" ref="D72:D77" si="13">C72/$C$78*100</f>
        <v>4.4473213265811209</v>
      </c>
      <c r="E72" s="68"/>
      <c r="F72" s="68"/>
      <c r="G72" s="68"/>
    </row>
    <row r="73" spans="2:10">
      <c r="B73" s="59" t="s">
        <v>68</v>
      </c>
      <c r="C73" s="57">
        <f t="shared" si="12"/>
        <v>2232.9142937783181</v>
      </c>
      <c r="D73" s="57">
        <f t="shared" si="13"/>
        <v>8.795644061988348</v>
      </c>
      <c r="E73" s="68"/>
      <c r="F73" s="68"/>
      <c r="G73" s="68"/>
    </row>
    <row r="74" spans="2:10">
      <c r="B74" s="59" t="s">
        <v>69</v>
      </c>
      <c r="C74" s="57">
        <f t="shared" si="12"/>
        <v>2266.7463285325352</v>
      </c>
      <c r="D74" s="57">
        <f t="shared" si="13"/>
        <v>8.928911396260899</v>
      </c>
      <c r="E74" s="68"/>
      <c r="F74" s="68"/>
      <c r="G74" s="68"/>
    </row>
    <row r="75" spans="2:10">
      <c r="B75" s="59" t="s">
        <v>70</v>
      </c>
      <c r="C75" s="57">
        <f t="shared" si="12"/>
        <v>1549.5071917431362</v>
      </c>
      <c r="D75" s="57">
        <f t="shared" si="13"/>
        <v>6.1036439096828241</v>
      </c>
      <c r="E75" s="68"/>
      <c r="F75" s="68"/>
      <c r="G75" s="68"/>
    </row>
    <row r="76" spans="2:10">
      <c r="B76" s="59" t="s">
        <v>71</v>
      </c>
      <c r="C76" s="57">
        <f t="shared" si="12"/>
        <v>835.16794364695568</v>
      </c>
      <c r="D76" s="57">
        <f t="shared" si="13"/>
        <v>3.2897993374709675</v>
      </c>
      <c r="E76" s="68"/>
      <c r="F76" s="68"/>
      <c r="G76" s="68"/>
    </row>
    <row r="77" spans="2:10">
      <c r="B77" s="58" t="s">
        <v>72</v>
      </c>
      <c r="C77" s="57">
        <f t="shared" si="12"/>
        <v>856.43379406389181</v>
      </c>
      <c r="D77" s="57">
        <f t="shared" si="13"/>
        <v>3.3735673761565699</v>
      </c>
      <c r="E77" s="68"/>
      <c r="F77" s="68"/>
      <c r="G77" s="68"/>
    </row>
    <row r="78" spans="2:10">
      <c r="B78" s="69" t="s">
        <v>64</v>
      </c>
      <c r="C78" s="57">
        <f>SUM(C71:C77)</f>
        <v>25386.592249999991</v>
      </c>
      <c r="D78" s="57">
        <f>SUM(D71:D77)</f>
        <v>100</v>
      </c>
      <c r="E78" s="68"/>
      <c r="F78" s="68"/>
      <c r="G78" s="68"/>
    </row>
    <row r="79" spans="2:10">
      <c r="B79" s="55" t="s">
        <v>192</v>
      </c>
      <c r="D79" s="55" t="s">
        <v>193</v>
      </c>
    </row>
    <row r="81" spans="2:6">
      <c r="B81" s="55" t="s">
        <v>165</v>
      </c>
    </row>
    <row r="83" spans="2:6">
      <c r="B83" s="55" t="s">
        <v>302</v>
      </c>
      <c r="C83" s="55">
        <v>66300</v>
      </c>
    </row>
    <row r="84" spans="2:6">
      <c r="B84" s="55" t="s">
        <v>220</v>
      </c>
      <c r="C84" s="55">
        <v>19600</v>
      </c>
      <c r="E84" s="485" t="s">
        <v>201</v>
      </c>
      <c r="F84" s="485"/>
    </row>
    <row r="85" spans="2:6" ht="26.4">
      <c r="B85" s="269" t="s">
        <v>143</v>
      </c>
      <c r="C85" s="69" t="s">
        <v>199</v>
      </c>
      <c r="D85" s="69"/>
      <c r="E85" s="69" t="s">
        <v>219</v>
      </c>
      <c r="F85" s="172" t="s">
        <v>221</v>
      </c>
    </row>
    <row r="86" spans="2:6">
      <c r="B86" s="59"/>
      <c r="C86" s="57" t="s">
        <v>142</v>
      </c>
      <c r="D86" s="108" t="s">
        <v>191</v>
      </c>
      <c r="E86" s="69"/>
      <c r="F86" s="69"/>
    </row>
    <row r="87" spans="2:6">
      <c r="B87" s="122" t="s">
        <v>66</v>
      </c>
      <c r="C87" s="171">
        <v>16516.799367008713</v>
      </c>
      <c r="D87" s="57">
        <f>C87/$C$78*100</f>
        <v>65.061112591859271</v>
      </c>
      <c r="E87" s="57">
        <f>D87/$D$94*$C$83</f>
        <v>43135.517648402696</v>
      </c>
      <c r="F87" s="56">
        <f>$C$84*D87*0.01</f>
        <v>12751.978068004419</v>
      </c>
    </row>
    <row r="88" spans="2:6">
      <c r="B88" s="124" t="s">
        <v>67</v>
      </c>
      <c r="C88" s="171">
        <v>1129.0233312264397</v>
      </c>
      <c r="D88" s="57">
        <f t="shared" ref="D88:D93" si="14">C88/$C$78*100</f>
        <v>4.4473213265811209</v>
      </c>
      <c r="E88" s="57">
        <f t="shared" ref="E88:E93" si="15">D88/$D$94*$C$83</f>
        <v>2948.5740395232833</v>
      </c>
      <c r="F88" s="56">
        <f t="shared" ref="F88:F93" si="16">$C$84*D88*0.01</f>
        <v>871.67498000989974</v>
      </c>
    </row>
    <row r="89" spans="2:6">
      <c r="B89" s="122" t="s">
        <v>68</v>
      </c>
      <c r="C89" s="171">
        <v>2232.9142937783181</v>
      </c>
      <c r="D89" s="57">
        <f t="shared" si="14"/>
        <v>8.795644061988348</v>
      </c>
      <c r="E89" s="57">
        <f t="shared" si="15"/>
        <v>5831.5120130982741</v>
      </c>
      <c r="F89" s="56">
        <f t="shared" si="16"/>
        <v>1723.9462361497162</v>
      </c>
    </row>
    <row r="90" spans="2:6">
      <c r="B90" s="122" t="s">
        <v>69</v>
      </c>
      <c r="C90" s="171">
        <v>2266.7463285325352</v>
      </c>
      <c r="D90" s="57">
        <f t="shared" si="14"/>
        <v>8.928911396260899</v>
      </c>
      <c r="E90" s="57">
        <f t="shared" si="15"/>
        <v>5919.8682557209768</v>
      </c>
      <c r="F90" s="56">
        <f t="shared" si="16"/>
        <v>1750.0666336671363</v>
      </c>
    </row>
    <row r="91" spans="2:6">
      <c r="B91" s="122" t="s">
        <v>70</v>
      </c>
      <c r="C91" s="171">
        <v>1549.5071917431362</v>
      </c>
      <c r="D91" s="57">
        <f t="shared" si="14"/>
        <v>6.1036439096828241</v>
      </c>
      <c r="E91" s="57">
        <f t="shared" si="15"/>
        <v>4046.7159121197124</v>
      </c>
      <c r="F91" s="56">
        <f t="shared" si="16"/>
        <v>1196.3142062978336</v>
      </c>
    </row>
    <row r="92" spans="2:6">
      <c r="B92" s="122" t="s">
        <v>71</v>
      </c>
      <c r="C92" s="171">
        <v>835.16794364695568</v>
      </c>
      <c r="D92" s="57">
        <f t="shared" si="14"/>
        <v>3.2897993374709675</v>
      </c>
      <c r="E92" s="57">
        <f t="shared" si="15"/>
        <v>2181.1369607432512</v>
      </c>
      <c r="F92" s="56">
        <f t="shared" si="16"/>
        <v>644.80067014430961</v>
      </c>
    </row>
    <row r="93" spans="2:6">
      <c r="B93" s="123" t="s">
        <v>72</v>
      </c>
      <c r="C93" s="171">
        <v>856.43379406389181</v>
      </c>
      <c r="D93" s="57">
        <f t="shared" si="14"/>
        <v>3.3735673761565699</v>
      </c>
      <c r="E93" s="57">
        <f t="shared" si="15"/>
        <v>2236.6751703918058</v>
      </c>
      <c r="F93" s="56">
        <f t="shared" si="16"/>
        <v>661.21920572668762</v>
      </c>
    </row>
    <row r="94" spans="2:6">
      <c r="B94" s="69" t="s">
        <v>64</v>
      </c>
      <c r="C94" s="57">
        <f>SUM(C87:C93)</f>
        <v>25386.592249999991</v>
      </c>
      <c r="D94" s="57">
        <f>SUM(D87:D93)</f>
        <v>100</v>
      </c>
      <c r="E94" s="56">
        <f>SUM(E87:E93)</f>
        <v>66300</v>
      </c>
      <c r="F94" s="56">
        <f>SUM(F87:F93)</f>
        <v>19600</v>
      </c>
    </row>
  </sheetData>
  <mergeCells count="26">
    <mergeCell ref="A38:K38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K27:K28"/>
    <mergeCell ref="L55:M55"/>
    <mergeCell ref="N55:O55"/>
    <mergeCell ref="P55:Q55"/>
    <mergeCell ref="E84:F84"/>
    <mergeCell ref="A39:A40"/>
    <mergeCell ref="B39:B40"/>
    <mergeCell ref="C39:C40"/>
    <mergeCell ref="D40:E40"/>
    <mergeCell ref="F40:G40"/>
    <mergeCell ref="J55:K55"/>
  </mergeCells>
  <pageMargins left="0.75" right="0.75" top="1" bottom="1" header="0.5" footer="0.5"/>
  <pageSetup scale="86" orientation="landscape" r:id="rId1"/>
  <headerFooter alignWithMargins="0"/>
  <rowBreaks count="1" manualBreakCount="1">
    <brk id="37" max="10" man="1"/>
  </rowBreaks>
  <colBreaks count="1" manualBreakCount="1">
    <brk id="13" max="4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00B050"/>
  </sheetPr>
  <dimension ref="A1:Q94"/>
  <sheetViews>
    <sheetView topLeftCell="A39" zoomScale="154" zoomScaleNormal="154" zoomScaleSheetLayoutView="85" zoomScalePageLayoutView="154" workbookViewId="0">
      <selection activeCell="D57" sqref="D57:D63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1.4414062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.33203125" style="55" bestFit="1" customWidth="1"/>
    <col min="9" max="9" width="10.44140625" style="55" customWidth="1"/>
    <col min="10" max="11" width="10.554687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D71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D72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/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303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257" t="s">
        <v>156</v>
      </c>
      <c r="G28" s="258" t="s">
        <v>155</v>
      </c>
      <c r="H28" s="485"/>
      <c r="I28" s="508"/>
      <c r="J28" s="493"/>
      <c r="K28" s="493"/>
      <c r="M28" s="70"/>
    </row>
    <row r="29" spans="1:13" ht="22.5" customHeight="1">
      <c r="A29" s="257">
        <v>1</v>
      </c>
      <c r="B29" s="258">
        <v>2</v>
      </c>
      <c r="C29" s="257">
        <v>3</v>
      </c>
      <c r="D29" s="259">
        <v>4</v>
      </c>
      <c r="E29" s="259">
        <v>5</v>
      </c>
      <c r="F29" s="257">
        <v>6</v>
      </c>
      <c r="G29" s="258">
        <v>7</v>
      </c>
      <c r="H29" s="260">
        <v>8</v>
      </c>
      <c r="I29" s="260">
        <v>9</v>
      </c>
      <c r="J29" s="255">
        <v>10</v>
      </c>
      <c r="K29" s="255">
        <v>11</v>
      </c>
      <c r="M29" s="70"/>
    </row>
    <row r="30" spans="1:13">
      <c r="A30" s="66">
        <v>29</v>
      </c>
      <c r="B30" s="64" t="s">
        <v>59</v>
      </c>
      <c r="C30" s="226">
        <v>63955</v>
      </c>
      <c r="D30" s="226">
        <v>0</v>
      </c>
      <c r="E30" s="226">
        <f t="shared" ref="E30:E35" si="1">C30-D30</f>
        <v>63955</v>
      </c>
      <c r="F30" s="57">
        <v>25</v>
      </c>
      <c r="G30" s="57">
        <f t="shared" ref="G30:G35" si="2">E30*F30/100</f>
        <v>15988.75</v>
      </c>
      <c r="H30" s="57">
        <f t="shared" ref="H30:H35" si="3">E30-G30</f>
        <v>47966.25</v>
      </c>
      <c r="I30" s="57">
        <f t="shared" ref="I30:I35" si="4">H30*0.025</f>
        <v>1199.15625</v>
      </c>
      <c r="J30" s="57">
        <f t="shared" ref="J30:J35" si="5">I30*0.8</f>
        <v>959.32500000000005</v>
      </c>
      <c r="K30" s="57">
        <f t="shared" ref="K30:K35" si="6">I30-J30</f>
        <v>239.83124999999995</v>
      </c>
    </row>
    <row r="31" spans="1:13">
      <c r="A31" s="66">
        <v>30</v>
      </c>
      <c r="B31" s="64" t="s">
        <v>148</v>
      </c>
      <c r="C31" s="226">
        <v>125659</v>
      </c>
      <c r="D31" s="226">
        <v>0</v>
      </c>
      <c r="E31" s="226">
        <f t="shared" si="1"/>
        <v>125659</v>
      </c>
      <c r="F31" s="57">
        <v>25</v>
      </c>
      <c r="G31" s="57">
        <f t="shared" si="2"/>
        <v>31414.75</v>
      </c>
      <c r="H31" s="57">
        <f t="shared" si="3"/>
        <v>94244.25</v>
      </c>
      <c r="I31" s="57">
        <f t="shared" si="4"/>
        <v>2356.1062500000003</v>
      </c>
      <c r="J31" s="57">
        <f t="shared" si="5"/>
        <v>1884.8850000000002</v>
      </c>
      <c r="K31" s="57">
        <f t="shared" si="6"/>
        <v>471.22125000000005</v>
      </c>
    </row>
    <row r="32" spans="1:13">
      <c r="A32" s="66">
        <v>39</v>
      </c>
      <c r="B32" s="67" t="s">
        <v>147</v>
      </c>
      <c r="C32" s="226">
        <v>1562366</v>
      </c>
      <c r="D32" s="226">
        <v>0</v>
      </c>
      <c r="E32" s="226">
        <f t="shared" si="1"/>
        <v>1562366</v>
      </c>
      <c r="F32" s="57">
        <v>6.32</v>
      </c>
      <c r="G32" s="57">
        <f t="shared" si="2"/>
        <v>98741.531200000012</v>
      </c>
      <c r="H32" s="57">
        <f t="shared" si="3"/>
        <v>1463624.4687999999</v>
      </c>
      <c r="I32" s="57">
        <f t="shared" si="4"/>
        <v>36590.611720000001</v>
      </c>
      <c r="J32" s="57">
        <f t="shared" si="5"/>
        <v>29272.489376000001</v>
      </c>
      <c r="K32" s="57">
        <f t="shared" si="6"/>
        <v>7318.1223439999994</v>
      </c>
    </row>
    <row r="33" spans="1:11">
      <c r="A33" s="66">
        <v>40</v>
      </c>
      <c r="B33" s="64" t="s">
        <v>146</v>
      </c>
      <c r="C33" s="226">
        <v>3648181</v>
      </c>
      <c r="D33" s="226">
        <v>0</v>
      </c>
      <c r="E33" s="226">
        <f t="shared" si="1"/>
        <v>3648181</v>
      </c>
      <c r="F33" s="57">
        <v>3.1</v>
      </c>
      <c r="G33" s="57">
        <f t="shared" si="2"/>
        <v>113093.61099999999</v>
      </c>
      <c r="H33" s="57">
        <f t="shared" si="3"/>
        <v>3535087.389</v>
      </c>
      <c r="I33" s="57">
        <f t="shared" si="4"/>
        <v>88377.184724999999</v>
      </c>
      <c r="J33" s="57">
        <f t="shared" si="5"/>
        <v>70701.747780000005</v>
      </c>
      <c r="K33" s="57">
        <f t="shared" si="6"/>
        <v>17675.436944999994</v>
      </c>
    </row>
    <row r="34" spans="1:11">
      <c r="A34" s="66">
        <v>41</v>
      </c>
      <c r="B34" s="64" t="s">
        <v>145</v>
      </c>
      <c r="C34" s="226">
        <v>249024</v>
      </c>
      <c r="D34" s="226">
        <v>0</v>
      </c>
      <c r="E34" s="226">
        <f t="shared" si="1"/>
        <v>249024</v>
      </c>
      <c r="F34" s="57">
        <v>17.010000000000002</v>
      </c>
      <c r="G34" s="57">
        <f t="shared" si="2"/>
        <v>42358.982400000001</v>
      </c>
      <c r="H34" s="57">
        <f t="shared" si="3"/>
        <v>206665.01759999999</v>
      </c>
      <c r="I34" s="57">
        <f t="shared" si="4"/>
        <v>5166.6254399999998</v>
      </c>
      <c r="J34" s="57">
        <f t="shared" si="5"/>
        <v>4133.3003520000002</v>
      </c>
      <c r="K34" s="57">
        <f t="shared" si="6"/>
        <v>1033.3250879999996</v>
      </c>
    </row>
    <row r="35" spans="1:11">
      <c r="A35" s="66">
        <v>45</v>
      </c>
      <c r="B35" s="64" t="s">
        <v>144</v>
      </c>
      <c r="C35" s="226">
        <v>798269</v>
      </c>
      <c r="D35" s="226">
        <v>781546</v>
      </c>
      <c r="E35" s="226">
        <f t="shared" si="1"/>
        <v>16723</v>
      </c>
      <c r="F35" s="57">
        <v>25</v>
      </c>
      <c r="G35" s="57">
        <f t="shared" si="2"/>
        <v>4180.75</v>
      </c>
      <c r="H35" s="57">
        <f t="shared" si="3"/>
        <v>12542.25</v>
      </c>
      <c r="I35" s="57">
        <f t="shared" si="4"/>
        <v>313.55625000000003</v>
      </c>
      <c r="J35" s="57">
        <f t="shared" si="5"/>
        <v>250.84500000000003</v>
      </c>
      <c r="K35" s="57">
        <f t="shared" si="6"/>
        <v>62.711250000000007</v>
      </c>
    </row>
    <row r="36" spans="1:11">
      <c r="A36" s="65"/>
      <c r="B36" s="64" t="s">
        <v>3</v>
      </c>
      <c r="C36" s="286">
        <f>SUM(C30:C35)</f>
        <v>6447454</v>
      </c>
      <c r="D36" s="286">
        <f>SUM(D30:D35)</f>
        <v>781546</v>
      </c>
      <c r="E36" s="57">
        <f>SUM(E30:E35)</f>
        <v>5665908</v>
      </c>
      <c r="F36" s="57"/>
      <c r="G36" s="57">
        <f>SUM(G30:G35)</f>
        <v>305778.37459999998</v>
      </c>
      <c r="H36" s="57">
        <f>SUM(H30:H35)</f>
        <v>5360129.6253999993</v>
      </c>
      <c r="I36" s="57">
        <f>SUM(I30:I35)</f>
        <v>134003.24063499999</v>
      </c>
      <c r="J36" s="57">
        <f>SUM(J30:J35)</f>
        <v>107202.59250800002</v>
      </c>
      <c r="K36" s="57">
        <f>SUM(K30:K35)</f>
        <v>26800.648126999993</v>
      </c>
    </row>
    <row r="37" spans="1:11">
      <c r="A37" s="261"/>
      <c r="B37" s="3"/>
      <c r="C37" s="68"/>
      <c r="D37" s="68"/>
      <c r="E37" s="68"/>
      <c r="F37" s="169"/>
      <c r="G37" s="63"/>
      <c r="H37" s="63"/>
      <c r="I37" s="63"/>
      <c r="J37" s="63"/>
      <c r="K37" s="63"/>
    </row>
    <row r="38" spans="1:11">
      <c r="A38" s="483" t="s">
        <v>154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</row>
    <row r="39" spans="1:11">
      <c r="A39" s="486" t="s">
        <v>153</v>
      </c>
      <c r="B39" s="487" t="s">
        <v>152</v>
      </c>
      <c r="C39" s="488" t="s">
        <v>151</v>
      </c>
      <c r="D39" s="103" t="s">
        <v>150</v>
      </c>
      <c r="E39" s="106" t="s">
        <v>149</v>
      </c>
      <c r="F39" s="68"/>
      <c r="G39" s="104"/>
      <c r="H39" s="63"/>
      <c r="I39" s="63"/>
      <c r="J39" s="63"/>
      <c r="K39" s="63"/>
    </row>
    <row r="40" spans="1:11">
      <c r="A40" s="486"/>
      <c r="B40" s="487"/>
      <c r="C40" s="485"/>
      <c r="D40" s="489" t="s">
        <v>228</v>
      </c>
      <c r="E40" s="490"/>
      <c r="F40" s="491"/>
      <c r="G40" s="491"/>
      <c r="H40" s="63"/>
      <c r="I40" s="63"/>
      <c r="J40" s="63"/>
      <c r="K40" s="63"/>
    </row>
    <row r="41" spans="1:11">
      <c r="A41" s="257"/>
      <c r="B41" s="258"/>
      <c r="C41" s="260"/>
      <c r="D41" s="258"/>
      <c r="E41" s="258"/>
      <c r="F41" s="263"/>
      <c r="G41" s="263"/>
      <c r="H41" s="63"/>
      <c r="I41" s="63"/>
      <c r="J41" s="63"/>
      <c r="K41" s="63"/>
    </row>
    <row r="42" spans="1:11">
      <c r="A42" s="257">
        <v>1</v>
      </c>
      <c r="B42" s="258">
        <v>2</v>
      </c>
      <c r="C42" s="260">
        <v>3</v>
      </c>
      <c r="D42" s="260">
        <v>4</v>
      </c>
      <c r="E42" s="260">
        <v>5</v>
      </c>
      <c r="F42" s="261"/>
      <c r="G42" s="105"/>
      <c r="H42" s="63"/>
      <c r="I42" s="63"/>
      <c r="J42" s="63"/>
      <c r="K42" s="63"/>
    </row>
    <row r="43" spans="1:11">
      <c r="A43" s="66">
        <v>29</v>
      </c>
      <c r="B43" s="64" t="s">
        <v>59</v>
      </c>
      <c r="C43" s="57">
        <f t="shared" ref="C43:C48" si="7">J30</f>
        <v>959.32500000000005</v>
      </c>
      <c r="D43" s="57">
        <f t="shared" ref="D43:D48" si="8">C43*0.3</f>
        <v>287.79750000000001</v>
      </c>
      <c r="E43" s="57">
        <f t="shared" ref="E43:E48" si="9">C43-D43</f>
        <v>671.52750000000003</v>
      </c>
      <c r="F43" s="63"/>
      <c r="G43" s="63"/>
      <c r="H43" s="63"/>
      <c r="I43" s="63"/>
      <c r="J43" s="63"/>
      <c r="K43" s="63"/>
    </row>
    <row r="44" spans="1:11">
      <c r="A44" s="66">
        <v>30</v>
      </c>
      <c r="B44" s="64" t="s">
        <v>148</v>
      </c>
      <c r="C44" s="57">
        <f t="shared" si="7"/>
        <v>1884.8850000000002</v>
      </c>
      <c r="D44" s="57">
        <f t="shared" si="8"/>
        <v>565.46550000000002</v>
      </c>
      <c r="E44" s="57">
        <f t="shared" si="9"/>
        <v>1319.4195000000002</v>
      </c>
      <c r="F44" s="63"/>
      <c r="G44" s="63"/>
      <c r="H44" s="63"/>
      <c r="I44" s="63"/>
      <c r="J44" s="63"/>
      <c r="K44" s="63"/>
    </row>
    <row r="45" spans="1:11">
      <c r="A45" s="66">
        <v>39</v>
      </c>
      <c r="B45" s="67" t="s">
        <v>147</v>
      </c>
      <c r="C45" s="57">
        <f t="shared" si="7"/>
        <v>29272.489376000001</v>
      </c>
      <c r="D45" s="57">
        <f t="shared" si="8"/>
        <v>8781.7468128</v>
      </c>
      <c r="E45" s="57">
        <f t="shared" si="9"/>
        <v>20490.742563200001</v>
      </c>
      <c r="F45" s="63"/>
      <c r="G45" s="63"/>
      <c r="H45" s="63"/>
      <c r="I45" s="63"/>
      <c r="J45" s="63"/>
      <c r="K45" s="63"/>
    </row>
    <row r="46" spans="1:11">
      <c r="A46" s="66">
        <v>40</v>
      </c>
      <c r="B46" s="64" t="s">
        <v>146</v>
      </c>
      <c r="C46" s="57">
        <f t="shared" si="7"/>
        <v>70701.747780000005</v>
      </c>
      <c r="D46" s="57">
        <f t="shared" si="8"/>
        <v>21210.524334000002</v>
      </c>
      <c r="E46" s="57">
        <f t="shared" si="9"/>
        <v>49491.223446000004</v>
      </c>
      <c r="F46" s="63"/>
      <c r="G46" s="63"/>
      <c r="H46" s="63"/>
      <c r="I46" s="63"/>
      <c r="J46" s="63"/>
      <c r="K46" s="63"/>
    </row>
    <row r="47" spans="1:11">
      <c r="A47" s="66">
        <v>41</v>
      </c>
      <c r="B47" s="64" t="s">
        <v>145</v>
      </c>
      <c r="C47" s="57">
        <f t="shared" si="7"/>
        <v>4133.3003520000002</v>
      </c>
      <c r="D47" s="57">
        <f t="shared" si="8"/>
        <v>1239.9901056000001</v>
      </c>
      <c r="E47" s="57">
        <f t="shared" si="9"/>
        <v>2893.3102464000003</v>
      </c>
      <c r="F47" s="63"/>
      <c r="G47" s="63"/>
      <c r="H47" s="63"/>
      <c r="I47" s="63"/>
      <c r="J47" s="63"/>
      <c r="K47" s="63"/>
    </row>
    <row r="48" spans="1:11">
      <c r="A48" s="66">
        <v>45</v>
      </c>
      <c r="B48" s="64" t="s">
        <v>144</v>
      </c>
      <c r="C48" s="57">
        <f t="shared" si="7"/>
        <v>250.84500000000003</v>
      </c>
      <c r="D48" s="57">
        <f t="shared" si="8"/>
        <v>75.253500000000003</v>
      </c>
      <c r="E48" s="57">
        <f t="shared" si="9"/>
        <v>175.59150000000002</v>
      </c>
      <c r="F48" s="63"/>
      <c r="G48" s="63"/>
      <c r="H48" s="63"/>
      <c r="I48" s="63"/>
      <c r="J48" s="63"/>
      <c r="K48" s="63"/>
    </row>
    <row r="49" spans="1:17">
      <c r="A49" s="65"/>
      <c r="B49" s="64" t="s">
        <v>3</v>
      </c>
      <c r="C49" s="57">
        <f>SUM(C43:C48)</f>
        <v>107202.59250800002</v>
      </c>
      <c r="D49" s="57">
        <f>SUM(D43:D48)</f>
        <v>32160.777752400005</v>
      </c>
      <c r="E49" s="57">
        <f>SUM(E43:E48)</f>
        <v>75041.814755600004</v>
      </c>
      <c r="F49" s="174"/>
      <c r="G49" s="174"/>
      <c r="H49" s="174"/>
      <c r="I49" s="63"/>
      <c r="J49" s="63"/>
      <c r="K49" s="63"/>
    </row>
    <row r="50" spans="1:17">
      <c r="D50" s="62"/>
      <c r="E50" s="62"/>
      <c r="J50" s="62"/>
      <c r="K50" s="62"/>
    </row>
    <row r="51" spans="1:17">
      <c r="A51" s="61"/>
      <c r="B51" s="1"/>
    </row>
    <row r="54" spans="1:17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6.4">
      <c r="B55" s="97" t="s">
        <v>143</v>
      </c>
      <c r="C55" s="259" t="s">
        <v>186</v>
      </c>
      <c r="D55" s="113" t="s">
        <v>3</v>
      </c>
      <c r="E55" s="256"/>
      <c r="F55" s="256"/>
      <c r="G55" s="256"/>
      <c r="H55" s="256"/>
      <c r="I55" s="256"/>
      <c r="J55" s="483"/>
      <c r="K55" s="483"/>
      <c r="L55" s="483"/>
      <c r="M55" s="483"/>
      <c r="N55" s="483"/>
      <c r="O55" s="483"/>
      <c r="P55" s="484"/>
      <c r="Q55" s="484"/>
    </row>
    <row r="56" spans="1:17">
      <c r="B56" s="98"/>
      <c r="C56" s="262"/>
      <c r="D56" s="69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</row>
    <row r="57" spans="1:17">
      <c r="B57" s="59" t="s">
        <v>66</v>
      </c>
      <c r="C57" s="57">
        <f>D71</f>
        <v>65.061112591859271</v>
      </c>
      <c r="D57" s="57">
        <f>$K$36/100*C57</f>
        <v>17436.799853255488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>
      <c r="B58" s="59" t="s">
        <v>67</v>
      </c>
      <c r="C58" s="57">
        <f t="shared" ref="C58:C63" si="10">D72</f>
        <v>4.4473213265811209</v>
      </c>
      <c r="D58" s="57">
        <f t="shared" ref="D58:D63" si="11">$K$36/100*C58</f>
        <v>1191.9109398140345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>
      <c r="B59" s="60" t="s">
        <v>68</v>
      </c>
      <c r="C59" s="57">
        <f t="shared" si="10"/>
        <v>8.795644061988348</v>
      </c>
      <c r="D59" s="57">
        <f t="shared" si="11"/>
        <v>2357.2896155568665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69</v>
      </c>
      <c r="C60" s="57">
        <f t="shared" si="10"/>
        <v>8.928911396260899</v>
      </c>
      <c r="D60" s="57">
        <f t="shared" si="11"/>
        <v>2393.0061248834854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59" t="s">
        <v>70</v>
      </c>
      <c r="C61" s="57">
        <f t="shared" si="10"/>
        <v>6.1036439096828241</v>
      </c>
      <c r="D61" s="57">
        <f t="shared" si="11"/>
        <v>1635.8161271591589</v>
      </c>
      <c r="E61" s="63"/>
      <c r="F61" s="63"/>
      <c r="G61" s="63"/>
      <c r="H61" s="63"/>
      <c r="I61" s="174"/>
      <c r="J61" s="174"/>
      <c r="K61" s="63"/>
      <c r="L61" s="63"/>
      <c r="M61" s="63"/>
      <c r="N61" s="63"/>
      <c r="O61" s="63"/>
      <c r="P61" s="63"/>
      <c r="Q61" s="63"/>
    </row>
    <row r="62" spans="1:17">
      <c r="B62" s="59" t="s">
        <v>71</v>
      </c>
      <c r="C62" s="57">
        <f t="shared" si="10"/>
        <v>3.2897993374709675</v>
      </c>
      <c r="D62" s="57">
        <f t="shared" si="11"/>
        <v>881.68754451997108</v>
      </c>
      <c r="E62" s="63"/>
      <c r="F62" s="63"/>
      <c r="G62" s="63"/>
      <c r="H62" s="63"/>
      <c r="I62" s="174"/>
      <c r="J62" s="174"/>
      <c r="K62" s="63"/>
      <c r="L62" s="63"/>
      <c r="M62" s="63"/>
      <c r="N62" s="63"/>
      <c r="O62" s="63"/>
      <c r="P62" s="63"/>
      <c r="Q62" s="63"/>
    </row>
    <row r="63" spans="1:17">
      <c r="B63" s="59" t="s">
        <v>72</v>
      </c>
      <c r="C63" s="57">
        <f t="shared" si="10"/>
        <v>3.3735673761565699</v>
      </c>
      <c r="D63" s="57">
        <f t="shared" si="11"/>
        <v>904.13792181098859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8" t="s">
        <v>64</v>
      </c>
      <c r="C64" s="57">
        <v>100</v>
      </c>
      <c r="D64" s="57">
        <f>SUM(D57:D63)</f>
        <v>26800.648126999993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0">
      <c r="B65" s="55" t="s">
        <v>187</v>
      </c>
      <c r="I65" s="173"/>
      <c r="J65" s="174"/>
    </row>
    <row r="66" spans="2:10">
      <c r="I66" s="173"/>
      <c r="J66" s="174"/>
    </row>
    <row r="67" spans="2:10">
      <c r="I67" s="173"/>
      <c r="J67" s="174"/>
    </row>
    <row r="68" spans="2:10">
      <c r="B68" s="262" t="s">
        <v>188</v>
      </c>
      <c r="C68" s="69"/>
      <c r="D68" s="69"/>
      <c r="E68" s="107"/>
      <c r="F68" s="107"/>
      <c r="G68" s="107"/>
      <c r="I68" s="173"/>
      <c r="J68" s="174"/>
    </row>
    <row r="69" spans="2:10">
      <c r="B69" s="262" t="s">
        <v>143</v>
      </c>
      <c r="C69" s="69" t="s">
        <v>199</v>
      </c>
      <c r="D69" s="69"/>
      <c r="E69" s="68"/>
      <c r="F69" s="68"/>
      <c r="G69" s="68"/>
    </row>
    <row r="70" spans="2:10">
      <c r="B70" s="59"/>
      <c r="C70" s="57" t="s">
        <v>142</v>
      </c>
      <c r="D70" s="108" t="s">
        <v>191</v>
      </c>
      <c r="E70" s="68"/>
      <c r="F70" s="68"/>
      <c r="G70" s="68"/>
    </row>
    <row r="71" spans="2:10">
      <c r="B71" s="59" t="s">
        <v>66</v>
      </c>
      <c r="C71" s="57">
        <f>C87</f>
        <v>16516.799367008713</v>
      </c>
      <c r="D71" s="57">
        <f>C71/$C$78*100</f>
        <v>65.061112591859271</v>
      </c>
      <c r="E71" s="68" t="s">
        <v>227</v>
      </c>
      <c r="F71" s="68"/>
      <c r="G71" s="68"/>
    </row>
    <row r="72" spans="2:10">
      <c r="B72" s="60" t="s">
        <v>67</v>
      </c>
      <c r="C72" s="57">
        <f t="shared" ref="C72:C77" si="12">C88</f>
        <v>1129.0233312264397</v>
      </c>
      <c r="D72" s="57">
        <f t="shared" ref="D72:D77" si="13">C72/$C$78*100</f>
        <v>4.4473213265811209</v>
      </c>
      <c r="E72" s="68"/>
      <c r="F72" s="68"/>
      <c r="G72" s="68"/>
    </row>
    <row r="73" spans="2:10">
      <c r="B73" s="59" t="s">
        <v>68</v>
      </c>
      <c r="C73" s="57">
        <f t="shared" si="12"/>
        <v>2232.9142937783181</v>
      </c>
      <c r="D73" s="57">
        <f t="shared" si="13"/>
        <v>8.795644061988348</v>
      </c>
      <c r="E73" s="68"/>
      <c r="F73" s="68"/>
      <c r="G73" s="68"/>
    </row>
    <row r="74" spans="2:10">
      <c r="B74" s="59" t="s">
        <v>69</v>
      </c>
      <c r="C74" s="57">
        <f t="shared" si="12"/>
        <v>2266.7463285325352</v>
      </c>
      <c r="D74" s="57">
        <f t="shared" si="13"/>
        <v>8.928911396260899</v>
      </c>
      <c r="E74" s="68"/>
      <c r="F74" s="68"/>
      <c r="G74" s="68"/>
    </row>
    <row r="75" spans="2:10">
      <c r="B75" s="59" t="s">
        <v>70</v>
      </c>
      <c r="C75" s="57">
        <f t="shared" si="12"/>
        <v>1549.5071917431362</v>
      </c>
      <c r="D75" s="57">
        <f t="shared" si="13"/>
        <v>6.1036439096828241</v>
      </c>
      <c r="E75" s="68"/>
      <c r="F75" s="68"/>
      <c r="G75" s="68"/>
    </row>
    <row r="76" spans="2:10">
      <c r="B76" s="59" t="s">
        <v>71</v>
      </c>
      <c r="C76" s="57">
        <f t="shared" si="12"/>
        <v>835.16794364695568</v>
      </c>
      <c r="D76" s="57">
        <f t="shared" si="13"/>
        <v>3.2897993374709675</v>
      </c>
      <c r="E76" s="68"/>
      <c r="F76" s="68"/>
      <c r="G76" s="68"/>
    </row>
    <row r="77" spans="2:10">
      <c r="B77" s="58" t="s">
        <v>72</v>
      </c>
      <c r="C77" s="57">
        <f t="shared" si="12"/>
        <v>856.43379406389181</v>
      </c>
      <c r="D77" s="57">
        <f t="shared" si="13"/>
        <v>3.3735673761565699</v>
      </c>
      <c r="E77" s="68"/>
      <c r="F77" s="68"/>
      <c r="G77" s="68"/>
    </row>
    <row r="78" spans="2:10">
      <c r="B78" s="69" t="s">
        <v>64</v>
      </c>
      <c r="C78" s="57">
        <f>SUM(C71:C77)</f>
        <v>25386.592249999991</v>
      </c>
      <c r="D78" s="57">
        <f>SUM(D71:D77)</f>
        <v>100</v>
      </c>
      <c r="E78" s="68"/>
      <c r="F78" s="68"/>
      <c r="G78" s="68"/>
    </row>
    <row r="79" spans="2:10">
      <c r="B79" s="55" t="s">
        <v>192</v>
      </c>
      <c r="D79" s="55" t="s">
        <v>193</v>
      </c>
    </row>
    <row r="81" spans="2:6">
      <c r="B81" s="55" t="s">
        <v>165</v>
      </c>
    </row>
    <row r="83" spans="2:6" ht="26.4">
      <c r="B83" s="197" t="s">
        <v>240</v>
      </c>
      <c r="C83" s="55">
        <v>76600</v>
      </c>
    </row>
    <row r="84" spans="2:6">
      <c r="B84" s="197" t="s">
        <v>220</v>
      </c>
      <c r="C84" s="55">
        <v>22100</v>
      </c>
      <c r="E84" s="485" t="s">
        <v>207</v>
      </c>
      <c r="F84" s="485"/>
    </row>
    <row r="85" spans="2:6" ht="26.4">
      <c r="B85" s="262" t="s">
        <v>143</v>
      </c>
      <c r="C85" s="69" t="s">
        <v>199</v>
      </c>
      <c r="D85" s="69"/>
      <c r="E85" s="69" t="s">
        <v>219</v>
      </c>
      <c r="F85" s="172" t="s">
        <v>221</v>
      </c>
    </row>
    <row r="86" spans="2:6">
      <c r="B86" s="59"/>
      <c r="C86" s="57" t="s">
        <v>142</v>
      </c>
      <c r="D86" s="108" t="s">
        <v>191</v>
      </c>
      <c r="E86" s="69"/>
      <c r="F86" s="69"/>
    </row>
    <row r="87" spans="2:6">
      <c r="B87" s="122" t="s">
        <v>66</v>
      </c>
      <c r="C87" s="171">
        <v>16516.799367008713</v>
      </c>
      <c r="D87" s="57">
        <f>C87/$C$78*100</f>
        <v>65.061112591859271</v>
      </c>
      <c r="E87" s="57">
        <f>D87/$D$94*$C$83</f>
        <v>49836.812245364199</v>
      </c>
      <c r="F87" s="56">
        <f>$C$84*D87*0.01</f>
        <v>14378.505882800899</v>
      </c>
    </row>
    <row r="88" spans="2:6">
      <c r="B88" s="124" t="s">
        <v>67</v>
      </c>
      <c r="C88" s="171">
        <v>1129.0233312264397</v>
      </c>
      <c r="D88" s="57">
        <f t="shared" ref="D88:D93" si="14">C88/$C$78*100</f>
        <v>4.4473213265811209</v>
      </c>
      <c r="E88" s="57">
        <f t="shared" ref="E88:E93" si="15">D88/$D$94*$C$83</f>
        <v>3406.6481361611386</v>
      </c>
      <c r="F88" s="56">
        <f t="shared" ref="F88:F93" si="16">$C$84*D88*0.01</f>
        <v>982.85801317442781</v>
      </c>
    </row>
    <row r="89" spans="2:6">
      <c r="B89" s="122" t="s">
        <v>68</v>
      </c>
      <c r="C89" s="171">
        <v>2232.9142937783181</v>
      </c>
      <c r="D89" s="57">
        <f t="shared" si="14"/>
        <v>8.795644061988348</v>
      </c>
      <c r="E89" s="57">
        <f t="shared" si="15"/>
        <v>6737.4633514830739</v>
      </c>
      <c r="F89" s="56">
        <f t="shared" si="16"/>
        <v>1943.8373376994248</v>
      </c>
    </row>
    <row r="90" spans="2:6">
      <c r="B90" s="122" t="s">
        <v>69</v>
      </c>
      <c r="C90" s="171">
        <v>2266.7463285325352</v>
      </c>
      <c r="D90" s="57">
        <f t="shared" si="14"/>
        <v>8.928911396260899</v>
      </c>
      <c r="E90" s="57">
        <f t="shared" si="15"/>
        <v>6839.5461295358491</v>
      </c>
      <c r="F90" s="56">
        <f t="shared" si="16"/>
        <v>1973.2894185736586</v>
      </c>
    </row>
    <row r="91" spans="2:6">
      <c r="B91" s="122" t="s">
        <v>70</v>
      </c>
      <c r="C91" s="171">
        <v>1549.5071917431362</v>
      </c>
      <c r="D91" s="57">
        <f t="shared" si="14"/>
        <v>6.1036439096828241</v>
      </c>
      <c r="E91" s="57">
        <f t="shared" si="15"/>
        <v>4675.3912348170434</v>
      </c>
      <c r="F91" s="56">
        <f t="shared" si="16"/>
        <v>1348.9053040399042</v>
      </c>
    </row>
    <row r="92" spans="2:6">
      <c r="B92" s="122" t="s">
        <v>71</v>
      </c>
      <c r="C92" s="171">
        <v>835.16794364695568</v>
      </c>
      <c r="D92" s="57">
        <f t="shared" si="14"/>
        <v>3.2897993374709675</v>
      </c>
      <c r="E92" s="57">
        <f t="shared" si="15"/>
        <v>2519.986292502761</v>
      </c>
      <c r="F92" s="56">
        <f t="shared" si="16"/>
        <v>727.0456535810838</v>
      </c>
    </row>
    <row r="93" spans="2:6">
      <c r="B93" s="123" t="s">
        <v>72</v>
      </c>
      <c r="C93" s="171">
        <v>856.43379406389181</v>
      </c>
      <c r="D93" s="57">
        <f t="shared" si="14"/>
        <v>3.3735673761565699</v>
      </c>
      <c r="E93" s="57">
        <f t="shared" si="15"/>
        <v>2584.1526101359327</v>
      </c>
      <c r="F93" s="56">
        <f t="shared" si="16"/>
        <v>745.55839013060188</v>
      </c>
    </row>
    <row r="94" spans="2:6">
      <c r="B94" s="69" t="s">
        <v>64</v>
      </c>
      <c r="C94" s="57">
        <f>SUM(C87:C93)</f>
        <v>25386.592249999991</v>
      </c>
      <c r="D94" s="57">
        <f>SUM(D87:D93)</f>
        <v>100</v>
      </c>
      <c r="E94" s="56">
        <f>SUM(E87:E93)</f>
        <v>76599.999999999985</v>
      </c>
      <c r="F94" s="56">
        <f>SUM(F87:F93)</f>
        <v>22100</v>
      </c>
    </row>
  </sheetData>
  <mergeCells count="26">
    <mergeCell ref="L55:M55"/>
    <mergeCell ref="N55:O55"/>
    <mergeCell ref="P55:Q55"/>
    <mergeCell ref="E84:F84"/>
    <mergeCell ref="A39:A40"/>
    <mergeCell ref="B39:B40"/>
    <mergeCell ref="C39:C40"/>
    <mergeCell ref="D40:E40"/>
    <mergeCell ref="F40:G40"/>
    <mergeCell ref="J55:K55"/>
    <mergeCell ref="A38:K38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K27:K28"/>
  </mergeCells>
  <pageMargins left="0.75" right="0.75" top="1" bottom="1" header="0.5" footer="0.5"/>
  <pageSetup scale="86" orientation="landscape" r:id="rId1"/>
  <headerFooter alignWithMargins="0"/>
  <rowBreaks count="1" manualBreakCount="1">
    <brk id="37" max="10" man="1"/>
  </rowBreaks>
  <colBreaks count="1" manualBreakCount="1">
    <brk id="13" max="4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>
    <tabColor rgb="FF00B050"/>
  </sheetPr>
  <dimension ref="A1:Q96"/>
  <sheetViews>
    <sheetView topLeftCell="A31" zoomScale="154" zoomScaleNormal="154" zoomScaleSheetLayoutView="85" zoomScalePageLayoutView="154" workbookViewId="0">
      <selection activeCell="G42" sqref="G42"/>
    </sheetView>
  </sheetViews>
  <sheetFormatPr defaultColWidth="9.33203125" defaultRowHeight="13.2"/>
  <cols>
    <col min="1" max="1" width="9.44140625" style="55" bestFit="1" customWidth="1"/>
    <col min="2" max="2" width="25.6640625" style="55" customWidth="1"/>
    <col min="3" max="3" width="11.44140625" style="55" bestFit="1" customWidth="1"/>
    <col min="4" max="5" width="12.33203125" style="55" customWidth="1"/>
    <col min="6" max="6" width="13" style="55" customWidth="1"/>
    <col min="7" max="7" width="12.44140625" style="55" customWidth="1"/>
    <col min="8" max="8" width="17" style="55" bestFit="1" customWidth="1"/>
    <col min="9" max="9" width="10.33203125" style="55" customWidth="1"/>
    <col min="10" max="11" width="10.44140625" style="55" bestFit="1" customWidth="1"/>
    <col min="12" max="12" width="9.44140625" style="55" bestFit="1" customWidth="1"/>
    <col min="13" max="13" width="10.44140625" style="55" customWidth="1"/>
    <col min="14" max="16384" width="9.33203125" style="55"/>
  </cols>
  <sheetData>
    <row r="1" spans="1:11">
      <c r="A1" s="494" t="s">
        <v>178</v>
      </c>
      <c r="B1" s="495"/>
      <c r="C1" s="495"/>
      <c r="D1" s="495"/>
      <c r="E1" s="495"/>
      <c r="F1" s="495"/>
      <c r="G1" s="495"/>
      <c r="H1" s="495"/>
      <c r="I1" s="495"/>
      <c r="J1" s="495"/>
      <c r="K1" s="496"/>
    </row>
    <row r="2" spans="1:11">
      <c r="A2" s="93"/>
      <c r="B2" s="68"/>
      <c r="C2" s="68"/>
      <c r="D2" s="68"/>
      <c r="E2" s="68"/>
      <c r="F2" s="68"/>
      <c r="G2" s="68"/>
      <c r="H2" s="68"/>
      <c r="I2" s="68"/>
      <c r="J2" s="68"/>
      <c r="K2" s="75"/>
    </row>
    <row r="3" spans="1:11">
      <c r="A3" s="497" t="s">
        <v>177</v>
      </c>
      <c r="B3" s="92" t="s">
        <v>176</v>
      </c>
      <c r="C3" s="91">
        <v>2.5</v>
      </c>
      <c r="D3" s="91" t="s">
        <v>175</v>
      </c>
      <c r="E3" s="91"/>
      <c r="F3" s="91"/>
      <c r="G3" s="91"/>
      <c r="H3" s="91"/>
      <c r="I3" s="91"/>
      <c r="J3" s="90"/>
      <c r="K3" s="75"/>
    </row>
    <row r="4" spans="1:11">
      <c r="A4" s="497"/>
      <c r="B4" s="89"/>
      <c r="C4" s="88"/>
      <c r="D4" s="88" t="s">
        <v>174</v>
      </c>
      <c r="E4" s="88"/>
      <c r="F4" s="88"/>
      <c r="G4" s="88"/>
      <c r="H4" s="88"/>
      <c r="I4" s="88"/>
      <c r="J4" s="87"/>
      <c r="K4" s="75"/>
    </row>
    <row r="5" spans="1:11" ht="12.75" customHeight="1">
      <c r="A5" s="498" t="s">
        <v>173</v>
      </c>
      <c r="B5" s="501" t="s">
        <v>172</v>
      </c>
      <c r="C5" s="86">
        <v>80</v>
      </c>
      <c r="D5" s="86" t="s">
        <v>171</v>
      </c>
      <c r="E5" s="86" t="s">
        <v>198</v>
      </c>
      <c r="F5" s="86"/>
      <c r="G5" s="82"/>
      <c r="H5" s="82"/>
      <c r="I5" s="82"/>
      <c r="J5" s="81"/>
      <c r="K5" s="75"/>
    </row>
    <row r="6" spans="1:11">
      <c r="A6" s="499"/>
      <c r="B6" s="502"/>
      <c r="C6" s="99"/>
      <c r="D6" s="99"/>
      <c r="E6" s="99">
        <v>70</v>
      </c>
      <c r="F6" s="99" t="s">
        <v>196</v>
      </c>
      <c r="G6" s="78"/>
      <c r="H6" s="78"/>
      <c r="I6" s="78"/>
      <c r="J6" s="77"/>
      <c r="K6" s="75"/>
    </row>
    <row r="7" spans="1:11">
      <c r="A7" s="499"/>
      <c r="B7" s="502"/>
      <c r="C7" s="99"/>
      <c r="D7" s="99"/>
      <c r="E7" s="99">
        <v>30</v>
      </c>
      <c r="F7" s="99" t="s">
        <v>197</v>
      </c>
      <c r="G7" s="78"/>
      <c r="H7" s="78"/>
      <c r="I7" s="78"/>
      <c r="J7" s="77"/>
      <c r="K7" s="75"/>
    </row>
    <row r="8" spans="1:11">
      <c r="A8" s="499"/>
      <c r="B8" s="502"/>
      <c r="C8" s="99"/>
      <c r="D8" s="99"/>
      <c r="E8" s="99"/>
      <c r="F8" s="99"/>
      <c r="G8" s="78"/>
      <c r="H8" s="78"/>
      <c r="I8" s="78"/>
      <c r="J8" s="77"/>
      <c r="K8" s="75"/>
    </row>
    <row r="9" spans="1:11">
      <c r="A9" s="500"/>
      <c r="B9" s="503"/>
      <c r="C9" s="85">
        <v>20</v>
      </c>
      <c r="D9" s="85" t="s">
        <v>170</v>
      </c>
      <c r="E9" s="109">
        <f>D73</f>
        <v>65.061112591859271</v>
      </c>
      <c r="F9" s="112" t="s">
        <v>66</v>
      </c>
      <c r="G9" s="72"/>
      <c r="H9" s="72"/>
      <c r="I9" s="72"/>
      <c r="J9" s="76"/>
      <c r="K9" s="75"/>
    </row>
    <row r="10" spans="1:11">
      <c r="A10" s="100"/>
      <c r="B10" s="101"/>
      <c r="C10" s="99"/>
      <c r="D10" s="99"/>
      <c r="E10" s="109">
        <f t="shared" ref="E10:E15" si="0">D74</f>
        <v>4.4473213265811209</v>
      </c>
      <c r="F10" s="99" t="s">
        <v>67</v>
      </c>
      <c r="G10" s="78"/>
      <c r="H10" s="78"/>
      <c r="I10" s="78"/>
      <c r="J10" s="78"/>
      <c r="K10" s="75"/>
    </row>
    <row r="11" spans="1:11">
      <c r="A11" s="100"/>
      <c r="B11" s="101"/>
      <c r="C11" s="99"/>
      <c r="D11" s="99"/>
      <c r="E11" s="109">
        <f t="shared" si="0"/>
        <v>8.795644061988348</v>
      </c>
      <c r="F11" s="110" t="s">
        <v>68</v>
      </c>
      <c r="G11" s="78"/>
      <c r="H11" s="78"/>
      <c r="I11" s="78"/>
      <c r="J11" s="78"/>
      <c r="K11" s="75"/>
    </row>
    <row r="12" spans="1:11">
      <c r="A12" s="100"/>
      <c r="B12" s="101"/>
      <c r="C12" s="99"/>
      <c r="D12" s="99"/>
      <c r="E12" s="109">
        <f t="shared" si="0"/>
        <v>8.928911396260899</v>
      </c>
      <c r="F12" s="110" t="s">
        <v>69</v>
      </c>
      <c r="G12" s="78"/>
      <c r="H12" s="78"/>
      <c r="I12" s="78"/>
      <c r="J12" s="78"/>
      <c r="K12" s="75"/>
    </row>
    <row r="13" spans="1:11">
      <c r="A13" s="100"/>
      <c r="B13" s="101"/>
      <c r="C13" s="99"/>
      <c r="D13" s="99"/>
      <c r="E13" s="109">
        <f t="shared" si="0"/>
        <v>6.1036439096828241</v>
      </c>
      <c r="F13" s="110" t="s">
        <v>70</v>
      </c>
      <c r="G13" s="78"/>
      <c r="H13" s="78"/>
      <c r="I13" s="78"/>
      <c r="J13" s="78"/>
      <c r="K13" s="75"/>
    </row>
    <row r="14" spans="1:11">
      <c r="A14" s="100"/>
      <c r="B14" s="101"/>
      <c r="C14" s="99"/>
      <c r="D14" s="99"/>
      <c r="E14" s="109">
        <f t="shared" si="0"/>
        <v>3.2897993374709675</v>
      </c>
      <c r="F14" s="110" t="s">
        <v>71</v>
      </c>
      <c r="G14" s="78"/>
      <c r="H14" s="78"/>
      <c r="I14" s="78"/>
      <c r="J14" s="78"/>
      <c r="K14" s="75"/>
    </row>
    <row r="15" spans="1:11">
      <c r="A15" s="100"/>
      <c r="B15" s="101"/>
      <c r="C15" s="99"/>
      <c r="D15" s="99"/>
      <c r="E15" s="109">
        <f t="shared" si="0"/>
        <v>3.3735673761565699</v>
      </c>
      <c r="F15" s="111" t="s">
        <v>72</v>
      </c>
      <c r="G15" s="78"/>
      <c r="H15" s="78"/>
      <c r="I15" s="78"/>
      <c r="J15" s="78"/>
      <c r="K15" s="75"/>
    </row>
    <row r="16" spans="1:11">
      <c r="A16" s="80"/>
      <c r="B16" s="102"/>
      <c r="C16" s="78"/>
      <c r="D16" s="78"/>
      <c r="E16" s="78"/>
      <c r="F16" s="78"/>
      <c r="G16" s="78"/>
      <c r="H16" s="78"/>
      <c r="I16" s="78"/>
      <c r="J16" s="78"/>
      <c r="K16" s="75"/>
    </row>
    <row r="17" spans="1:13">
      <c r="A17" s="80"/>
      <c r="B17" s="79"/>
      <c r="C17" s="78"/>
      <c r="D17" s="78"/>
      <c r="E17" s="78"/>
      <c r="F17" s="78"/>
      <c r="G17" s="78"/>
      <c r="H17" s="78"/>
      <c r="I17" s="78"/>
      <c r="J17" s="78"/>
      <c r="K17" s="75"/>
    </row>
    <row r="18" spans="1:13">
      <c r="A18" s="504"/>
      <c r="B18" s="505"/>
      <c r="C18" s="505"/>
      <c r="D18" s="505"/>
      <c r="E18" s="505"/>
      <c r="F18" s="505"/>
      <c r="G18" s="505"/>
      <c r="H18" s="505"/>
      <c r="I18" s="505"/>
      <c r="J18" s="505"/>
      <c r="K18" s="75"/>
    </row>
    <row r="19" spans="1:13">
      <c r="A19" s="84"/>
      <c r="B19" s="83"/>
      <c r="C19" s="82"/>
      <c r="D19" s="82"/>
      <c r="E19" s="82"/>
      <c r="F19" s="82"/>
      <c r="G19" s="82"/>
      <c r="H19" s="82"/>
      <c r="I19" s="82"/>
      <c r="J19" s="81"/>
      <c r="K19" s="75"/>
    </row>
    <row r="20" spans="1:13">
      <c r="A20" s="80"/>
      <c r="B20" s="79"/>
      <c r="C20" s="78"/>
      <c r="D20" s="78"/>
      <c r="E20" s="78"/>
      <c r="F20" s="78"/>
      <c r="G20" s="78"/>
      <c r="H20" s="78"/>
      <c r="I20" s="78"/>
      <c r="J20" s="77"/>
      <c r="K20" s="75"/>
    </row>
    <row r="21" spans="1:13">
      <c r="A21" s="80"/>
      <c r="B21" s="79"/>
      <c r="C21" s="78"/>
      <c r="D21" s="78"/>
      <c r="E21" s="78"/>
      <c r="F21" s="78"/>
      <c r="G21" s="78"/>
      <c r="H21" s="78"/>
      <c r="I21" s="78"/>
      <c r="J21" s="77"/>
      <c r="K21" s="75"/>
    </row>
    <row r="22" spans="1:13">
      <c r="A22" s="80"/>
      <c r="B22" s="79"/>
      <c r="C22" s="78"/>
      <c r="D22" s="78"/>
      <c r="E22" s="78"/>
      <c r="F22" s="78"/>
      <c r="G22" s="78"/>
      <c r="H22" s="78"/>
      <c r="I22" s="78"/>
      <c r="J22" s="77"/>
      <c r="K22" s="75"/>
    </row>
    <row r="23" spans="1:13" ht="20.399999999999999">
      <c r="A23" s="80"/>
      <c r="B23" s="79"/>
      <c r="C23" s="78"/>
      <c r="D23" s="224" t="s">
        <v>202</v>
      </c>
      <c r="E23" s="78"/>
      <c r="F23" s="78"/>
      <c r="G23" s="78"/>
      <c r="H23" s="78"/>
      <c r="I23" s="78"/>
      <c r="J23" s="77"/>
      <c r="K23" s="75"/>
    </row>
    <row r="24" spans="1:13">
      <c r="A24" s="74"/>
      <c r="B24" s="73"/>
      <c r="C24" s="72"/>
      <c r="D24" s="72"/>
      <c r="E24" s="72"/>
      <c r="F24" s="72"/>
      <c r="G24" s="72"/>
      <c r="H24" s="72"/>
      <c r="I24" s="72"/>
      <c r="J24" s="76"/>
      <c r="K24" s="75"/>
    </row>
    <row r="25" spans="1:13">
      <c r="A25" s="74"/>
      <c r="B25" s="73"/>
      <c r="C25" s="72"/>
      <c r="D25" s="72"/>
      <c r="E25" s="72"/>
      <c r="F25" s="72"/>
      <c r="G25" s="72"/>
      <c r="H25" s="72"/>
      <c r="I25" s="72"/>
      <c r="J25" s="72"/>
      <c r="K25" s="71"/>
    </row>
    <row r="27" spans="1:13" ht="38.25" customHeight="1">
      <c r="A27" s="486" t="s">
        <v>153</v>
      </c>
      <c r="B27" s="487" t="s">
        <v>152</v>
      </c>
      <c r="C27" s="486" t="s">
        <v>164</v>
      </c>
      <c r="D27" s="506" t="s">
        <v>163</v>
      </c>
      <c r="E27" s="506" t="s">
        <v>162</v>
      </c>
      <c r="F27" s="486" t="s">
        <v>161</v>
      </c>
      <c r="G27" s="486"/>
      <c r="H27" s="506" t="s">
        <v>160</v>
      </c>
      <c r="I27" s="507" t="s">
        <v>159</v>
      </c>
      <c r="J27" s="492" t="s">
        <v>158</v>
      </c>
      <c r="K27" s="492" t="s">
        <v>157</v>
      </c>
      <c r="M27" s="70" t="s">
        <v>65</v>
      </c>
    </row>
    <row r="28" spans="1:13" ht="22.5" customHeight="1">
      <c r="A28" s="486"/>
      <c r="B28" s="487"/>
      <c r="C28" s="486"/>
      <c r="D28" s="506"/>
      <c r="E28" s="506"/>
      <c r="F28" s="249" t="s">
        <v>156</v>
      </c>
      <c r="G28" s="250" t="s">
        <v>155</v>
      </c>
      <c r="H28" s="485"/>
      <c r="I28" s="508"/>
      <c r="J28" s="493"/>
      <c r="K28" s="493"/>
      <c r="M28" s="70"/>
    </row>
    <row r="29" spans="1:13" ht="22.5" customHeight="1">
      <c r="A29" s="249">
        <v>1</v>
      </c>
      <c r="B29" s="250">
        <v>2</v>
      </c>
      <c r="C29" s="249">
        <v>3</v>
      </c>
      <c r="D29" s="254">
        <v>4</v>
      </c>
      <c r="E29" s="254">
        <v>5</v>
      </c>
      <c r="F29" s="249">
        <v>6</v>
      </c>
      <c r="G29" s="250">
        <v>7</v>
      </c>
      <c r="H29" s="248">
        <v>8</v>
      </c>
      <c r="I29" s="248">
        <v>9</v>
      </c>
      <c r="J29" s="253">
        <v>10</v>
      </c>
      <c r="K29" s="253">
        <v>11</v>
      </c>
      <c r="M29" s="70"/>
    </row>
    <row r="30" spans="1:13" ht="26.25" customHeight="1">
      <c r="A30" s="279" t="s">
        <v>304</v>
      </c>
      <c r="B30" s="280" t="s">
        <v>305</v>
      </c>
      <c r="C30" s="284">
        <v>2530697</v>
      </c>
      <c r="D30" s="284">
        <v>0</v>
      </c>
      <c r="E30" s="57">
        <f t="shared" ref="E30:E36" si="1">C30-D30</f>
        <v>2530697</v>
      </c>
      <c r="F30" s="57">
        <v>3.1</v>
      </c>
      <c r="G30" s="57">
        <f t="shared" ref="G30:G36" si="2">E30*F30/100</f>
        <v>78451.607000000004</v>
      </c>
      <c r="H30" s="57">
        <f t="shared" ref="H30:H36" si="3">E30-G30</f>
        <v>2452245.3930000002</v>
      </c>
      <c r="I30" s="57">
        <f t="shared" ref="I30" si="4">H30*0.025</f>
        <v>61306.134825000008</v>
      </c>
      <c r="J30" s="57">
        <f t="shared" ref="J30" si="5">I30*0.8</f>
        <v>49044.907860000007</v>
      </c>
      <c r="K30" s="57">
        <f t="shared" ref="K30" si="6">I30-J30</f>
        <v>12261.226965000002</v>
      </c>
      <c r="M30" s="70"/>
    </row>
    <row r="31" spans="1:13">
      <c r="A31" s="66">
        <v>29</v>
      </c>
      <c r="B31" s="64" t="s">
        <v>59</v>
      </c>
      <c r="C31" s="285">
        <v>71000</v>
      </c>
      <c r="D31" s="285">
        <v>0</v>
      </c>
      <c r="E31" s="57">
        <f t="shared" si="1"/>
        <v>71000</v>
      </c>
      <c r="F31" s="57">
        <v>25</v>
      </c>
      <c r="G31" s="57">
        <f t="shared" si="2"/>
        <v>17750</v>
      </c>
      <c r="H31" s="57">
        <f t="shared" si="3"/>
        <v>53250</v>
      </c>
      <c r="I31" s="57">
        <f t="shared" ref="I31:I36" si="7">H31*0.025</f>
        <v>1331.25</v>
      </c>
      <c r="J31" s="57">
        <f t="shared" ref="J31:J36" si="8">I31*0.8</f>
        <v>1065</v>
      </c>
      <c r="K31" s="57">
        <f t="shared" ref="K31:K36" si="9">I31-J31</f>
        <v>266.25</v>
      </c>
    </row>
    <row r="32" spans="1:13">
      <c r="A32" s="66">
        <v>30</v>
      </c>
      <c r="B32" s="64" t="s">
        <v>148</v>
      </c>
      <c r="C32" s="285">
        <v>133400</v>
      </c>
      <c r="D32" s="285">
        <v>0</v>
      </c>
      <c r="E32" s="57">
        <f t="shared" si="1"/>
        <v>133400</v>
      </c>
      <c r="F32" s="57">
        <v>25</v>
      </c>
      <c r="G32" s="57">
        <f t="shared" si="2"/>
        <v>33350</v>
      </c>
      <c r="H32" s="57">
        <f t="shared" si="3"/>
        <v>100050</v>
      </c>
      <c r="I32" s="57">
        <f t="shared" si="7"/>
        <v>2501.25</v>
      </c>
      <c r="J32" s="57">
        <f t="shared" si="8"/>
        <v>2001</v>
      </c>
      <c r="K32" s="57">
        <f t="shared" si="9"/>
        <v>500.25</v>
      </c>
    </row>
    <row r="33" spans="1:11">
      <c r="A33" s="66">
        <v>39</v>
      </c>
      <c r="B33" s="67" t="s">
        <v>147</v>
      </c>
      <c r="C33" s="285">
        <v>1585400</v>
      </c>
      <c r="D33" s="285">
        <v>0</v>
      </c>
      <c r="E33" s="57">
        <f t="shared" si="1"/>
        <v>1585400</v>
      </c>
      <c r="F33" s="57">
        <v>6.32</v>
      </c>
      <c r="G33" s="57">
        <f t="shared" si="2"/>
        <v>100197.28</v>
      </c>
      <c r="H33" s="57">
        <f t="shared" si="3"/>
        <v>1485202.72</v>
      </c>
      <c r="I33" s="57">
        <f t="shared" si="7"/>
        <v>37130.067999999999</v>
      </c>
      <c r="J33" s="57">
        <f t="shared" si="8"/>
        <v>29704.054400000001</v>
      </c>
      <c r="K33" s="57">
        <f t="shared" si="9"/>
        <v>7426.0135999999984</v>
      </c>
    </row>
    <row r="34" spans="1:11">
      <c r="A34" s="66">
        <v>40</v>
      </c>
      <c r="B34" s="64" t="s">
        <v>146</v>
      </c>
      <c r="C34" s="285">
        <v>1540000</v>
      </c>
      <c r="D34" s="285">
        <v>0</v>
      </c>
      <c r="E34" s="57">
        <f t="shared" si="1"/>
        <v>1540000</v>
      </c>
      <c r="F34" s="57">
        <v>3.1</v>
      </c>
      <c r="G34" s="57">
        <f t="shared" si="2"/>
        <v>47740</v>
      </c>
      <c r="H34" s="57">
        <f t="shared" si="3"/>
        <v>1492260</v>
      </c>
      <c r="I34" s="57">
        <f t="shared" si="7"/>
        <v>37306.5</v>
      </c>
      <c r="J34" s="57">
        <f t="shared" si="8"/>
        <v>29845.200000000001</v>
      </c>
      <c r="K34" s="57">
        <f t="shared" si="9"/>
        <v>7461.2999999999993</v>
      </c>
    </row>
    <row r="35" spans="1:11">
      <c r="A35" s="66">
        <v>41</v>
      </c>
      <c r="B35" s="64" t="s">
        <v>145</v>
      </c>
      <c r="C35" s="285">
        <v>310500</v>
      </c>
      <c r="D35" s="285">
        <v>0</v>
      </c>
      <c r="E35" s="57">
        <f t="shared" si="1"/>
        <v>310500</v>
      </c>
      <c r="F35" s="57">
        <v>17.010000000000002</v>
      </c>
      <c r="G35" s="57">
        <f t="shared" si="2"/>
        <v>52816.05000000001</v>
      </c>
      <c r="H35" s="57">
        <f t="shared" si="3"/>
        <v>257683.94999999998</v>
      </c>
      <c r="I35" s="57">
        <f t="shared" si="7"/>
        <v>6442.0987500000001</v>
      </c>
      <c r="J35" s="57">
        <f t="shared" si="8"/>
        <v>5153.6790000000001</v>
      </c>
      <c r="K35" s="57">
        <f t="shared" si="9"/>
        <v>1288.41975</v>
      </c>
    </row>
    <row r="36" spans="1:11">
      <c r="A36" s="66">
        <v>45</v>
      </c>
      <c r="B36" s="64" t="s">
        <v>144</v>
      </c>
      <c r="C36" s="285">
        <v>326312</v>
      </c>
      <c r="D36" s="285">
        <v>323477</v>
      </c>
      <c r="E36" s="57">
        <f t="shared" si="1"/>
        <v>2835</v>
      </c>
      <c r="F36" s="57">
        <v>25</v>
      </c>
      <c r="G36" s="57">
        <f t="shared" si="2"/>
        <v>708.75</v>
      </c>
      <c r="H36" s="57">
        <f t="shared" si="3"/>
        <v>2126.25</v>
      </c>
      <c r="I36" s="57">
        <f t="shared" si="7"/>
        <v>53.15625</v>
      </c>
      <c r="J36" s="57">
        <f t="shared" si="8"/>
        <v>42.525000000000006</v>
      </c>
      <c r="K36" s="57">
        <f t="shared" si="9"/>
        <v>10.631249999999994</v>
      </c>
    </row>
    <row r="37" spans="1:11">
      <c r="A37" s="65"/>
      <c r="B37" s="64" t="s">
        <v>3</v>
      </c>
      <c r="C37" s="285">
        <f>SUM(C30:C36)</f>
        <v>6497309</v>
      </c>
      <c r="D37" s="285">
        <f>SUM(D30:D36)</f>
        <v>323477</v>
      </c>
      <c r="E37" s="57">
        <f>SUM(E30:E36)</f>
        <v>6173832</v>
      </c>
      <c r="F37" s="69"/>
      <c r="G37" s="57">
        <f t="shared" ref="G37:J37" si="10">SUM(G30:G36)</f>
        <v>331013.68699999998</v>
      </c>
      <c r="H37" s="57">
        <f t="shared" si="10"/>
        <v>5842818.3130000001</v>
      </c>
      <c r="I37" s="57">
        <f t="shared" si="10"/>
        <v>146070.45782500002</v>
      </c>
      <c r="J37" s="57">
        <f t="shared" si="10"/>
        <v>116856.36626</v>
      </c>
      <c r="K37" s="57">
        <f>SUM(K30:K36)</f>
        <v>29214.091564999999</v>
      </c>
    </row>
    <row r="38" spans="1:11">
      <c r="A38" s="247"/>
      <c r="B38" s="3"/>
      <c r="C38" s="68"/>
      <c r="D38" s="68"/>
      <c r="E38" s="68"/>
      <c r="F38" s="169"/>
      <c r="G38" s="63"/>
      <c r="H38" s="63"/>
      <c r="I38" s="63"/>
      <c r="J38" s="63"/>
      <c r="K38" s="63"/>
    </row>
    <row r="39" spans="1:11">
      <c r="A39" s="483" t="s">
        <v>154</v>
      </c>
      <c r="B39" s="483"/>
      <c r="C39" s="483"/>
      <c r="D39" s="483"/>
      <c r="E39" s="483"/>
      <c r="F39" s="483"/>
      <c r="G39" s="483"/>
      <c r="H39" s="483"/>
      <c r="I39" s="483"/>
      <c r="J39" s="483"/>
      <c r="K39" s="483"/>
    </row>
    <row r="40" spans="1:11">
      <c r="A40" s="486" t="s">
        <v>153</v>
      </c>
      <c r="B40" s="487" t="s">
        <v>152</v>
      </c>
      <c r="C40" s="488" t="s">
        <v>151</v>
      </c>
      <c r="D40" s="103" t="s">
        <v>150</v>
      </c>
      <c r="E40" s="106" t="s">
        <v>149</v>
      </c>
      <c r="F40" s="68"/>
      <c r="G40" s="104"/>
      <c r="H40" s="63"/>
      <c r="I40" s="63"/>
      <c r="J40" s="63"/>
      <c r="K40" s="63"/>
    </row>
    <row r="41" spans="1:11">
      <c r="A41" s="486"/>
      <c r="B41" s="487"/>
      <c r="C41" s="485"/>
      <c r="D41" s="489" t="s">
        <v>228</v>
      </c>
      <c r="E41" s="490"/>
      <c r="F41" s="491"/>
      <c r="G41" s="491"/>
      <c r="H41" s="63"/>
      <c r="I41" s="63"/>
      <c r="J41" s="63"/>
      <c r="K41" s="63"/>
    </row>
    <row r="42" spans="1:11">
      <c r="A42" s="249"/>
      <c r="B42" s="250"/>
      <c r="C42" s="248"/>
      <c r="D42" s="250"/>
      <c r="E42" s="250"/>
      <c r="F42" s="252"/>
      <c r="G42" s="252"/>
      <c r="H42" s="63"/>
      <c r="I42" s="63"/>
      <c r="J42" s="63"/>
      <c r="K42" s="63"/>
    </row>
    <row r="43" spans="1:11">
      <c r="A43" s="249">
        <v>1</v>
      </c>
      <c r="B43" s="250">
        <v>2</v>
      </c>
      <c r="C43" s="248">
        <v>3</v>
      </c>
      <c r="D43" s="248">
        <v>4</v>
      </c>
      <c r="E43" s="248">
        <v>5</v>
      </c>
      <c r="F43" s="247"/>
      <c r="G43" s="105"/>
      <c r="H43" s="63"/>
      <c r="I43" s="63"/>
      <c r="J43" s="63"/>
      <c r="K43" s="63"/>
    </row>
    <row r="44" spans="1:11" ht="26.4">
      <c r="A44" s="279" t="s">
        <v>304</v>
      </c>
      <c r="B44" s="280" t="s">
        <v>305</v>
      </c>
      <c r="C44" s="121">
        <f>J30</f>
        <v>49044.907860000007</v>
      </c>
      <c r="D44" s="57">
        <f t="shared" ref="D44" si="11">C44*0.3</f>
        <v>14713.472358000001</v>
      </c>
      <c r="E44" s="57">
        <f t="shared" ref="E44" si="12">C44-D44</f>
        <v>34331.435502000008</v>
      </c>
      <c r="F44" s="283"/>
      <c r="G44" s="105"/>
      <c r="H44" s="63"/>
      <c r="I44" s="63"/>
      <c r="J44" s="63"/>
      <c r="K44" s="63"/>
    </row>
    <row r="45" spans="1:11">
      <c r="A45" s="66">
        <v>29</v>
      </c>
      <c r="B45" s="64" t="s">
        <v>59</v>
      </c>
      <c r="C45" s="57">
        <f t="shared" ref="C45:C50" si="13">J31</f>
        <v>1065</v>
      </c>
      <c r="D45" s="57">
        <f t="shared" ref="D45:D50" si="14">C45*0.3</f>
        <v>319.5</v>
      </c>
      <c r="E45" s="57">
        <f t="shared" ref="E45:E50" si="15">C45-D45</f>
        <v>745.5</v>
      </c>
      <c r="F45" s="63"/>
      <c r="G45" s="63"/>
      <c r="H45" s="63"/>
      <c r="I45" s="63"/>
      <c r="J45" s="63"/>
      <c r="K45" s="63"/>
    </row>
    <row r="46" spans="1:11">
      <c r="A46" s="66">
        <v>30</v>
      </c>
      <c r="B46" s="64" t="s">
        <v>148</v>
      </c>
      <c r="C46" s="57">
        <f t="shared" si="13"/>
        <v>2001</v>
      </c>
      <c r="D46" s="57">
        <f t="shared" si="14"/>
        <v>600.29999999999995</v>
      </c>
      <c r="E46" s="57">
        <f t="shared" si="15"/>
        <v>1400.7</v>
      </c>
      <c r="F46" s="63"/>
      <c r="G46" s="63"/>
      <c r="H46" s="63"/>
      <c r="I46" s="63"/>
      <c r="J46" s="63"/>
      <c r="K46" s="63"/>
    </row>
    <row r="47" spans="1:11">
      <c r="A47" s="66">
        <v>39</v>
      </c>
      <c r="B47" s="67" t="s">
        <v>147</v>
      </c>
      <c r="C47" s="57">
        <f t="shared" si="13"/>
        <v>29704.054400000001</v>
      </c>
      <c r="D47" s="57">
        <f t="shared" si="14"/>
        <v>8911.2163199999995</v>
      </c>
      <c r="E47" s="57">
        <f t="shared" si="15"/>
        <v>20792.838080000001</v>
      </c>
      <c r="F47" s="63"/>
      <c r="G47" s="63"/>
      <c r="H47" s="63"/>
      <c r="I47" s="63"/>
      <c r="J47" s="63"/>
      <c r="K47" s="63"/>
    </row>
    <row r="48" spans="1:11">
      <c r="A48" s="66">
        <v>40</v>
      </c>
      <c r="B48" s="64" t="s">
        <v>146</v>
      </c>
      <c r="C48" s="57">
        <f t="shared" si="13"/>
        <v>29845.200000000001</v>
      </c>
      <c r="D48" s="57">
        <f t="shared" si="14"/>
        <v>8953.56</v>
      </c>
      <c r="E48" s="57">
        <f t="shared" si="15"/>
        <v>20891.64</v>
      </c>
      <c r="F48" s="63"/>
      <c r="G48" s="63"/>
      <c r="H48" s="63"/>
      <c r="I48" s="63"/>
      <c r="J48" s="63"/>
      <c r="K48" s="63"/>
    </row>
    <row r="49" spans="1:17">
      <c r="A49" s="66">
        <v>41</v>
      </c>
      <c r="B49" s="64" t="s">
        <v>145</v>
      </c>
      <c r="C49" s="57">
        <f t="shared" si="13"/>
        <v>5153.6790000000001</v>
      </c>
      <c r="D49" s="57">
        <f t="shared" si="14"/>
        <v>1546.1036999999999</v>
      </c>
      <c r="E49" s="57">
        <f t="shared" si="15"/>
        <v>3607.5753000000004</v>
      </c>
      <c r="F49" s="63"/>
      <c r="G49" s="63"/>
      <c r="H49" s="63"/>
      <c r="I49" s="63"/>
      <c r="J49" s="63"/>
      <c r="K49" s="63"/>
    </row>
    <row r="50" spans="1:17">
      <c r="A50" s="66">
        <v>45</v>
      </c>
      <c r="B50" s="64" t="s">
        <v>144</v>
      </c>
      <c r="C50" s="57">
        <f t="shared" si="13"/>
        <v>42.525000000000006</v>
      </c>
      <c r="D50" s="57">
        <f t="shared" si="14"/>
        <v>12.757500000000002</v>
      </c>
      <c r="E50" s="57">
        <f t="shared" si="15"/>
        <v>29.767500000000005</v>
      </c>
      <c r="F50" s="63"/>
      <c r="G50" s="63"/>
      <c r="H50" s="63"/>
      <c r="I50" s="63"/>
      <c r="J50" s="63"/>
      <c r="K50" s="63"/>
    </row>
    <row r="51" spans="1:17">
      <c r="A51" s="65"/>
      <c r="B51" s="64" t="s">
        <v>3</v>
      </c>
      <c r="C51" s="57">
        <f>SUM(C44:C50)</f>
        <v>116856.36626</v>
      </c>
      <c r="D51" s="57">
        <f t="shared" ref="D51:E51" si="16">SUM(D44:D50)</f>
        <v>35056.909877999999</v>
      </c>
      <c r="E51" s="57">
        <f t="shared" si="16"/>
        <v>81799.456382000004</v>
      </c>
      <c r="F51" s="174"/>
      <c r="G51" s="174"/>
      <c r="H51" s="174"/>
      <c r="I51" s="63"/>
      <c r="J51" s="63"/>
      <c r="K51" s="63"/>
    </row>
    <row r="52" spans="1:17">
      <c r="D52" s="62"/>
      <c r="E52" s="62"/>
      <c r="J52" s="62"/>
      <c r="K52" s="62"/>
    </row>
    <row r="53" spans="1:17">
      <c r="A53" s="61"/>
      <c r="B53" s="1"/>
    </row>
    <row r="56" spans="1:17"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6.4">
      <c r="B57" s="97" t="s">
        <v>143</v>
      </c>
      <c r="C57" s="254" t="s">
        <v>186</v>
      </c>
      <c r="D57" s="113" t="s">
        <v>3</v>
      </c>
      <c r="E57" s="246"/>
      <c r="F57" s="246"/>
      <c r="G57" s="246"/>
      <c r="H57" s="246"/>
      <c r="I57" s="246"/>
      <c r="J57" s="483"/>
      <c r="K57" s="483"/>
      <c r="L57" s="483"/>
      <c r="M57" s="483"/>
      <c r="N57" s="483"/>
      <c r="O57" s="483"/>
      <c r="P57" s="484"/>
      <c r="Q57" s="484"/>
    </row>
    <row r="58" spans="1:17">
      <c r="B58" s="98"/>
      <c r="C58" s="251"/>
      <c r="D58" s="69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</row>
    <row r="59" spans="1:17">
      <c r="B59" s="59" t="s">
        <v>66</v>
      </c>
      <c r="C59" s="57">
        <f>D73</f>
        <v>65.061112591859271</v>
      </c>
      <c r="D59" s="56">
        <f>$K$37/100*C59</f>
        <v>19007.013005793513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>
      <c r="B60" s="59" t="s">
        <v>67</v>
      </c>
      <c r="C60" s="57">
        <f t="shared" ref="C60:C65" si="17">D74</f>
        <v>4.4473213265811209</v>
      </c>
      <c r="D60" s="56">
        <f t="shared" ref="D60:D65" si="18">$K$37/100*C60</f>
        <v>1299.2445245371814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>
      <c r="B61" s="60" t="s">
        <v>68</v>
      </c>
      <c r="C61" s="57">
        <f t="shared" si="17"/>
        <v>8.795644061988348</v>
      </c>
      <c r="D61" s="56">
        <f t="shared" si="18"/>
        <v>2569.5675100007616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>
      <c r="B62" s="59" t="s">
        <v>69</v>
      </c>
      <c r="C62" s="57">
        <f t="shared" si="17"/>
        <v>8.928911396260899</v>
      </c>
      <c r="D62" s="56">
        <f t="shared" si="18"/>
        <v>2608.5003510613792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>
      <c r="B63" s="59" t="s">
        <v>70</v>
      </c>
      <c r="C63" s="57">
        <f t="shared" si="17"/>
        <v>6.1036439096828241</v>
      </c>
      <c r="D63" s="56">
        <f t="shared" si="18"/>
        <v>1783.1241205762863</v>
      </c>
      <c r="E63" s="63"/>
      <c r="F63" s="63"/>
      <c r="G63" s="63"/>
      <c r="H63" s="63"/>
      <c r="I63" s="174"/>
      <c r="J63" s="174"/>
      <c r="K63" s="63"/>
      <c r="L63" s="63"/>
      <c r="M63" s="63"/>
      <c r="N63" s="63"/>
      <c r="O63" s="63"/>
      <c r="P63" s="63"/>
      <c r="Q63" s="63"/>
    </row>
    <row r="64" spans="1:17">
      <c r="B64" s="59" t="s">
        <v>71</v>
      </c>
      <c r="C64" s="57">
        <f t="shared" si="17"/>
        <v>3.2897993374709675</v>
      </c>
      <c r="D64" s="56">
        <f t="shared" si="18"/>
        <v>961.08499075353188</v>
      </c>
      <c r="E64" s="63"/>
      <c r="F64" s="63"/>
      <c r="G64" s="63"/>
      <c r="H64" s="63"/>
      <c r="I64" s="174"/>
      <c r="J64" s="174"/>
      <c r="K64" s="63"/>
      <c r="L64" s="63"/>
      <c r="M64" s="63"/>
      <c r="N64" s="63"/>
      <c r="O64" s="63"/>
      <c r="P64" s="63"/>
      <c r="Q64" s="63"/>
    </row>
    <row r="65" spans="2:17">
      <c r="B65" s="59" t="s">
        <v>72</v>
      </c>
      <c r="C65" s="57">
        <f t="shared" si="17"/>
        <v>3.3735673761565699</v>
      </c>
      <c r="D65" s="56">
        <f t="shared" si="18"/>
        <v>985.55706227734834</v>
      </c>
      <c r="E65" s="63"/>
      <c r="F65" s="63"/>
      <c r="G65" s="63"/>
      <c r="H65" s="63"/>
      <c r="I65" s="174"/>
      <c r="J65" s="174"/>
      <c r="K65" s="63"/>
      <c r="L65" s="63"/>
      <c r="M65" s="63"/>
      <c r="N65" s="63"/>
      <c r="O65" s="63"/>
      <c r="P65" s="63"/>
      <c r="Q65" s="63"/>
    </row>
    <row r="66" spans="2:17">
      <c r="B66" s="58" t="s">
        <v>64</v>
      </c>
      <c r="C66" s="57">
        <v>100</v>
      </c>
      <c r="D66" s="56">
        <f>SUM(D59:D65)</f>
        <v>29214.091564999999</v>
      </c>
      <c r="E66" s="63"/>
      <c r="F66" s="63"/>
      <c r="G66" s="63"/>
      <c r="H66" s="63"/>
      <c r="I66" s="174"/>
      <c r="J66" s="174"/>
      <c r="K66" s="63"/>
      <c r="L66" s="63"/>
      <c r="M66" s="63"/>
      <c r="N66" s="63"/>
      <c r="O66" s="63"/>
      <c r="P66" s="63"/>
      <c r="Q66" s="63"/>
    </row>
    <row r="67" spans="2:17">
      <c r="B67" s="55" t="s">
        <v>187</v>
      </c>
      <c r="I67" s="173"/>
      <c r="J67" s="174"/>
    </row>
    <row r="68" spans="2:17">
      <c r="I68" s="173"/>
      <c r="J68" s="174"/>
    </row>
    <row r="69" spans="2:17">
      <c r="I69" s="173"/>
      <c r="J69" s="174"/>
    </row>
    <row r="70" spans="2:17">
      <c r="B70" s="251" t="s">
        <v>188</v>
      </c>
      <c r="C70" s="69"/>
      <c r="D70" s="69"/>
      <c r="E70" s="107"/>
      <c r="F70" s="107"/>
      <c r="G70" s="107"/>
      <c r="I70" s="173"/>
      <c r="J70" s="174"/>
    </row>
    <row r="71" spans="2:17">
      <c r="B71" s="251" t="s">
        <v>143</v>
      </c>
      <c r="C71" s="69" t="s">
        <v>199</v>
      </c>
      <c r="D71" s="69"/>
      <c r="E71" s="68"/>
      <c r="F71" s="68"/>
      <c r="G71" s="68"/>
    </row>
    <row r="72" spans="2:17">
      <c r="B72" s="59"/>
      <c r="C72" s="57" t="s">
        <v>142</v>
      </c>
      <c r="D72" s="108" t="s">
        <v>191</v>
      </c>
      <c r="E72" s="68"/>
      <c r="F72" s="68"/>
      <c r="G72" s="68"/>
    </row>
    <row r="73" spans="2:17">
      <c r="B73" s="59" t="s">
        <v>66</v>
      </c>
      <c r="C73" s="57">
        <f>C89</f>
        <v>16516.799367008713</v>
      </c>
      <c r="D73" s="57">
        <f>C73/$C$80*100</f>
        <v>65.061112591859271</v>
      </c>
      <c r="E73" s="68" t="s">
        <v>227</v>
      </c>
      <c r="F73" s="68"/>
      <c r="G73" s="68"/>
    </row>
    <row r="74" spans="2:17">
      <c r="B74" s="60" t="s">
        <v>67</v>
      </c>
      <c r="C74" s="57">
        <f t="shared" ref="C74:C79" si="19">C90</f>
        <v>1129.0233312264397</v>
      </c>
      <c r="D74" s="57">
        <f t="shared" ref="D74:D79" si="20">C74/$C$80*100</f>
        <v>4.4473213265811209</v>
      </c>
      <c r="E74" s="68"/>
      <c r="F74" s="68"/>
      <c r="G74" s="68"/>
    </row>
    <row r="75" spans="2:17">
      <c r="B75" s="59" t="s">
        <v>68</v>
      </c>
      <c r="C75" s="57">
        <f t="shared" si="19"/>
        <v>2232.9142937783181</v>
      </c>
      <c r="D75" s="57">
        <f t="shared" si="20"/>
        <v>8.795644061988348</v>
      </c>
      <c r="E75" s="68"/>
      <c r="F75" s="68"/>
      <c r="G75" s="68"/>
    </row>
    <row r="76" spans="2:17">
      <c r="B76" s="59" t="s">
        <v>69</v>
      </c>
      <c r="C76" s="57">
        <f t="shared" si="19"/>
        <v>2266.7463285325352</v>
      </c>
      <c r="D76" s="57">
        <f t="shared" si="20"/>
        <v>8.928911396260899</v>
      </c>
      <c r="E76" s="68"/>
      <c r="F76" s="68"/>
      <c r="G76" s="68"/>
    </row>
    <row r="77" spans="2:17">
      <c r="B77" s="59" t="s">
        <v>70</v>
      </c>
      <c r="C77" s="57">
        <f t="shared" si="19"/>
        <v>1549.5071917431362</v>
      </c>
      <c r="D77" s="57">
        <f t="shared" si="20"/>
        <v>6.1036439096828241</v>
      </c>
      <c r="E77" s="68"/>
      <c r="F77" s="68"/>
      <c r="G77" s="68"/>
    </row>
    <row r="78" spans="2:17">
      <c r="B78" s="59" t="s">
        <v>71</v>
      </c>
      <c r="C78" s="57">
        <f t="shared" si="19"/>
        <v>835.16794364695568</v>
      </c>
      <c r="D78" s="57">
        <f t="shared" si="20"/>
        <v>3.2897993374709675</v>
      </c>
      <c r="E78" s="68"/>
      <c r="F78" s="68"/>
      <c r="G78" s="68"/>
    </row>
    <row r="79" spans="2:17">
      <c r="B79" s="58" t="s">
        <v>72</v>
      </c>
      <c r="C79" s="57">
        <f t="shared" si="19"/>
        <v>856.43379406389181</v>
      </c>
      <c r="D79" s="57">
        <f t="shared" si="20"/>
        <v>3.3735673761565699</v>
      </c>
      <c r="E79" s="68"/>
      <c r="F79" s="68"/>
      <c r="G79" s="68"/>
    </row>
    <row r="80" spans="2:17">
      <c r="B80" s="69" t="s">
        <v>64</v>
      </c>
      <c r="C80" s="57">
        <f>SUM(C73:C79)</f>
        <v>25386.592249999991</v>
      </c>
      <c r="D80" s="57">
        <f>SUM(D73:D79)</f>
        <v>100</v>
      </c>
      <c r="E80" s="68"/>
      <c r="F80" s="68"/>
      <c r="G80" s="68"/>
    </row>
    <row r="81" spans="2:8">
      <c r="B81" s="55" t="s">
        <v>192</v>
      </c>
      <c r="D81" s="55" t="s">
        <v>193</v>
      </c>
    </row>
    <row r="83" spans="2:8">
      <c r="B83" s="273" t="s">
        <v>165</v>
      </c>
      <c r="C83" s="273"/>
      <c r="D83" s="273"/>
      <c r="E83" s="273"/>
      <c r="F83" s="273"/>
      <c r="G83" s="273"/>
      <c r="H83" s="273"/>
    </row>
    <row r="85" spans="2:8" ht="26.4">
      <c r="B85" s="274" t="s">
        <v>296</v>
      </c>
      <c r="C85" s="273">
        <v>88600</v>
      </c>
    </row>
    <row r="86" spans="2:8">
      <c r="B86" s="274" t="s">
        <v>220</v>
      </c>
      <c r="C86" s="273">
        <v>25200</v>
      </c>
      <c r="E86" s="511" t="s">
        <v>202</v>
      </c>
      <c r="F86" s="511"/>
    </row>
    <row r="87" spans="2:8" ht="26.4">
      <c r="B87" s="251" t="s">
        <v>143</v>
      </c>
      <c r="C87" s="69" t="s">
        <v>199</v>
      </c>
      <c r="D87" s="69"/>
      <c r="E87" s="69" t="s">
        <v>219</v>
      </c>
      <c r="F87" s="172" t="s">
        <v>221</v>
      </c>
    </row>
    <row r="88" spans="2:8">
      <c r="B88" s="59"/>
      <c r="C88" s="57" t="s">
        <v>142</v>
      </c>
      <c r="D88" s="108" t="s">
        <v>191</v>
      </c>
      <c r="E88" s="69"/>
      <c r="F88" s="69"/>
    </row>
    <row r="89" spans="2:8">
      <c r="B89" s="275" t="s">
        <v>66</v>
      </c>
      <c r="C89" s="276">
        <v>16516.799367008713</v>
      </c>
      <c r="D89" s="277">
        <f>C89/$C$80*100</f>
        <v>65.061112591859271</v>
      </c>
      <c r="E89" s="277">
        <f>D89/$D$96*$C$85</f>
        <v>57644.145756387312</v>
      </c>
      <c r="F89" s="276">
        <f>$C$86*D89*0.01</f>
        <v>16395.400373148535</v>
      </c>
    </row>
    <row r="90" spans="2:8">
      <c r="B90" s="118" t="s">
        <v>67</v>
      </c>
      <c r="C90" s="276">
        <v>1129.0233312264397</v>
      </c>
      <c r="D90" s="277">
        <f t="shared" ref="D90:D95" si="21">C90/$C$80*100</f>
        <v>4.4473213265811209</v>
      </c>
      <c r="E90" s="277">
        <f t="shared" ref="E90:E95" si="22">D90/$D$96*$C$85</f>
        <v>3940.3266953508733</v>
      </c>
      <c r="F90" s="276">
        <f t="shared" ref="F90:F95" si="23">$C$86*D90*0.01</f>
        <v>1120.7249742984425</v>
      </c>
    </row>
    <row r="91" spans="2:8">
      <c r="B91" s="275" t="s">
        <v>68</v>
      </c>
      <c r="C91" s="276">
        <v>2232.9142937783181</v>
      </c>
      <c r="D91" s="277">
        <f t="shared" si="21"/>
        <v>8.795644061988348</v>
      </c>
      <c r="E91" s="277">
        <f t="shared" si="22"/>
        <v>7792.9406389216756</v>
      </c>
      <c r="F91" s="276">
        <f t="shared" si="23"/>
        <v>2216.5023036210637</v>
      </c>
    </row>
    <row r="92" spans="2:8">
      <c r="B92" s="275" t="s">
        <v>69</v>
      </c>
      <c r="C92" s="276">
        <v>2266.7463285325352</v>
      </c>
      <c r="D92" s="277">
        <f t="shared" si="21"/>
        <v>8.928911396260899</v>
      </c>
      <c r="E92" s="277">
        <f t="shared" si="22"/>
        <v>7911.0154970871572</v>
      </c>
      <c r="F92" s="276">
        <f t="shared" si="23"/>
        <v>2250.0856718577465</v>
      </c>
    </row>
    <row r="93" spans="2:8">
      <c r="B93" s="275" t="s">
        <v>70</v>
      </c>
      <c r="C93" s="276">
        <v>1549.5071917431362</v>
      </c>
      <c r="D93" s="277">
        <f t="shared" si="21"/>
        <v>6.1036439096828241</v>
      </c>
      <c r="E93" s="277">
        <f t="shared" si="22"/>
        <v>5407.8285039789816</v>
      </c>
      <c r="F93" s="276">
        <f t="shared" si="23"/>
        <v>1538.1182652400717</v>
      </c>
    </row>
    <row r="94" spans="2:8">
      <c r="B94" s="275" t="s">
        <v>71</v>
      </c>
      <c r="C94" s="276">
        <v>835.16794364695568</v>
      </c>
      <c r="D94" s="277">
        <f t="shared" si="21"/>
        <v>3.2897993374709675</v>
      </c>
      <c r="E94" s="277">
        <f t="shared" si="22"/>
        <v>2914.7622129992769</v>
      </c>
      <c r="F94" s="276">
        <f t="shared" si="23"/>
        <v>829.02943304268388</v>
      </c>
    </row>
    <row r="95" spans="2:8">
      <c r="B95" s="278" t="s">
        <v>72</v>
      </c>
      <c r="C95" s="276">
        <v>856.43379406389181</v>
      </c>
      <c r="D95" s="277">
        <f t="shared" si="21"/>
        <v>3.3735673761565699</v>
      </c>
      <c r="E95" s="277">
        <f t="shared" si="22"/>
        <v>2988.9806952747213</v>
      </c>
      <c r="F95" s="276">
        <f t="shared" si="23"/>
        <v>850.13897879145566</v>
      </c>
    </row>
    <row r="96" spans="2:8">
      <c r="B96" s="118" t="s">
        <v>64</v>
      </c>
      <c r="C96" s="277">
        <f>SUM(C89:C95)</f>
        <v>25386.592249999991</v>
      </c>
      <c r="D96" s="277">
        <f>SUM(D89:D95)</f>
        <v>100</v>
      </c>
      <c r="E96" s="276">
        <f>SUM(E89:E95)</f>
        <v>88599.999999999985</v>
      </c>
      <c r="F96" s="276">
        <f>SUM(F89:F95)</f>
        <v>25199.999999999996</v>
      </c>
    </row>
  </sheetData>
  <mergeCells count="26">
    <mergeCell ref="A39:K39"/>
    <mergeCell ref="A1:K1"/>
    <mergeCell ref="A3:A4"/>
    <mergeCell ref="A5:A9"/>
    <mergeCell ref="B5:B9"/>
    <mergeCell ref="A18:J18"/>
    <mergeCell ref="A27:A28"/>
    <mergeCell ref="B27:B28"/>
    <mergeCell ref="C27:C28"/>
    <mergeCell ref="D27:D28"/>
    <mergeCell ref="E27:E28"/>
    <mergeCell ref="F27:G27"/>
    <mergeCell ref="H27:H28"/>
    <mergeCell ref="I27:I28"/>
    <mergeCell ref="J27:J28"/>
    <mergeCell ref="K27:K28"/>
    <mergeCell ref="L57:M57"/>
    <mergeCell ref="N57:O57"/>
    <mergeCell ref="P57:Q57"/>
    <mergeCell ref="E86:F86"/>
    <mergeCell ref="A40:A41"/>
    <mergeCell ref="B40:B41"/>
    <mergeCell ref="C40:C41"/>
    <mergeCell ref="D41:E41"/>
    <mergeCell ref="F41:G41"/>
    <mergeCell ref="J57:K57"/>
  </mergeCells>
  <pageMargins left="0.75" right="0.75" top="1" bottom="1" header="0.5" footer="0.5"/>
  <pageSetup scale="86" orientation="landscape" r:id="rId1"/>
  <headerFooter alignWithMargins="0"/>
  <rowBreaks count="1" manualBreakCount="1">
    <brk id="38" max="10" man="1"/>
  </rowBreaks>
  <colBreaks count="1" manualBreakCount="1">
    <brk id="13" max="4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>
    <tabColor rgb="FF00B050"/>
  </sheetPr>
  <dimension ref="A1:I34"/>
  <sheetViews>
    <sheetView workbookViewId="0">
      <selection activeCell="F11" sqref="F11"/>
    </sheetView>
  </sheetViews>
  <sheetFormatPr defaultColWidth="9" defaultRowHeight="18"/>
  <cols>
    <col min="1" max="1" width="36" style="288" customWidth="1"/>
    <col min="2" max="2" width="17.44140625" style="288" customWidth="1"/>
    <col min="3" max="3" width="20.44140625" style="288" customWidth="1"/>
    <col min="4" max="4" width="19.44140625" style="289" customWidth="1"/>
    <col min="5" max="5" width="19.5546875" style="288" customWidth="1"/>
    <col min="6" max="6" width="18" style="289" customWidth="1"/>
    <col min="7" max="16384" width="9" style="288"/>
  </cols>
  <sheetData>
    <row r="1" spans="1:9" ht="54.75" customHeight="1">
      <c r="A1" s="512" t="s">
        <v>301</v>
      </c>
      <c r="B1" s="512"/>
      <c r="C1" s="512"/>
      <c r="D1" s="512"/>
      <c r="E1" s="512"/>
      <c r="F1" s="512"/>
      <c r="G1" s="287"/>
      <c r="H1" s="287"/>
      <c r="I1" s="287"/>
    </row>
    <row r="2" spans="1:9" ht="3" customHeight="1">
      <c r="A2" s="512"/>
      <c r="B2" s="512"/>
      <c r="C2" s="512"/>
      <c r="D2" s="512"/>
      <c r="E2" s="512"/>
      <c r="F2" s="512"/>
    </row>
    <row r="3" spans="1:9">
      <c r="E3" s="513" t="s">
        <v>276</v>
      </c>
      <c r="F3" s="513"/>
    </row>
    <row r="4" spans="1:9" ht="54">
      <c r="A4" s="290"/>
      <c r="B4" s="291" t="s">
        <v>297</v>
      </c>
      <c r="C4" s="291" t="s">
        <v>298</v>
      </c>
      <c r="D4" s="291" t="s">
        <v>279</v>
      </c>
      <c r="E4" s="291" t="s">
        <v>299</v>
      </c>
      <c r="F4" s="291" t="s">
        <v>300</v>
      </c>
    </row>
    <row r="5" spans="1:9">
      <c r="A5" s="290">
        <v>1</v>
      </c>
      <c r="B5" s="291">
        <v>2</v>
      </c>
      <c r="C5" s="291">
        <v>3</v>
      </c>
      <c r="D5" s="291">
        <v>4</v>
      </c>
      <c r="E5" s="291">
        <v>5</v>
      </c>
      <c r="F5" s="291">
        <v>6</v>
      </c>
    </row>
    <row r="6" spans="1:9">
      <c r="A6" s="292" t="s">
        <v>282</v>
      </c>
      <c r="B6" s="293">
        <f>'ShareofTaxesCal-_Act 16-17'!D49</f>
        <v>32160.777752400005</v>
      </c>
      <c r="C6" s="293">
        <f>'ShareofTaxesCal_B.E 16-17'!D49</f>
        <v>30463.9107</v>
      </c>
      <c r="D6" s="293">
        <f>B6-C6</f>
        <v>1696.8670524000045</v>
      </c>
      <c r="E6" s="293">
        <f>'ShareofTaxesCal-_18-19'!D51</f>
        <v>35056.909877999999</v>
      </c>
      <c r="F6" s="293">
        <f>D6+E6</f>
        <v>36753.776930400003</v>
      </c>
    </row>
    <row r="7" spans="1:9">
      <c r="A7" s="292" t="s">
        <v>283</v>
      </c>
      <c r="B7" s="293">
        <f>'ShareofTaxesCal-_Act 16-17'!E49</f>
        <v>75041.814755600004</v>
      </c>
      <c r="C7" s="293">
        <f>'ShareofTaxesCal_B.E 16-17'!E49</f>
        <v>71082.458300000013</v>
      </c>
      <c r="D7" s="293">
        <f>B7-C7</f>
        <v>3959.356455599991</v>
      </c>
      <c r="E7" s="293">
        <f>'ShareofTaxesCal-_18-19'!E51</f>
        <v>81799.456382000004</v>
      </c>
      <c r="F7" s="293">
        <f t="shared" ref="F7:F17" si="0">D7+E7</f>
        <v>85758.812837599995</v>
      </c>
    </row>
    <row r="8" spans="1:9">
      <c r="A8" s="292" t="s">
        <v>3</v>
      </c>
      <c r="B8" s="293">
        <f>SUM(B6:B7)</f>
        <v>107202.592508</v>
      </c>
      <c r="C8" s="293">
        <f>SUM(C6:C7)</f>
        <v>101546.36900000001</v>
      </c>
      <c r="D8" s="293">
        <f>SUM(D6:D7)</f>
        <v>5656.2235079999955</v>
      </c>
      <c r="E8" s="293">
        <f>SUM(E6:E7)</f>
        <v>116856.36626000001</v>
      </c>
      <c r="F8" s="293">
        <f>SUM(F6:F7)</f>
        <v>122512.58976800001</v>
      </c>
    </row>
    <row r="9" spans="1:9">
      <c r="A9" s="214"/>
      <c r="B9" s="294"/>
      <c r="C9" s="294"/>
      <c r="D9" s="293"/>
      <c r="E9" s="294"/>
      <c r="F9" s="293"/>
    </row>
    <row r="10" spans="1:9">
      <c r="A10" s="292" t="s">
        <v>284</v>
      </c>
      <c r="B10" s="293">
        <f>'ShareofTaxesCal-_Act 16-17'!D64</f>
        <v>26800.648126999993</v>
      </c>
      <c r="C10" s="293">
        <f>'ShareofTaxesCal_B.E 16-17'!D64</f>
        <v>25386.592249999991</v>
      </c>
      <c r="D10" s="293">
        <f>SUM(D11:D17)</f>
        <v>1156.4848177687663</v>
      </c>
      <c r="E10" s="293">
        <f>'ShareofTaxesCal-_18-19'!D66</f>
        <v>29214.091564999999</v>
      </c>
      <c r="F10" s="293">
        <f t="shared" si="0"/>
        <v>30370.576382768766</v>
      </c>
    </row>
    <row r="11" spans="1:9">
      <c r="A11" s="214" t="s">
        <v>285</v>
      </c>
      <c r="B11" s="294">
        <f>'ShareofTaxesCal-_Act 16-17'!D57</f>
        <v>17436.799853255488</v>
      </c>
      <c r="C11" s="294">
        <f>'ShareofTaxesCal_B.E 16-17'!D57</f>
        <v>16516.799367008713</v>
      </c>
      <c r="D11" s="294">
        <f>B11-C11</f>
        <v>920.00048624677584</v>
      </c>
      <c r="E11" s="294">
        <f>'ShareofTaxesCal-_18-19'!D59</f>
        <v>19007.013005793513</v>
      </c>
      <c r="F11" s="294">
        <f t="shared" si="0"/>
        <v>19927.013492040289</v>
      </c>
    </row>
    <row r="12" spans="1:9">
      <c r="A12" s="214" t="s">
        <v>286</v>
      </c>
      <c r="B12" s="294">
        <f>'ShareofTaxesCal-_Act 16-17'!D58</f>
        <v>1191.9109398140345</v>
      </c>
      <c r="C12" s="294">
        <f>'ShareofTaxesCal_B.E 16-17'!D58</f>
        <v>1129.0233312264395</v>
      </c>
      <c r="D12" s="294">
        <f t="shared" ref="D12:D17" si="1">B12-C12</f>
        <v>62.887608587594968</v>
      </c>
      <c r="E12" s="294">
        <f>'ShareofTaxesCal-_18-19'!D60</f>
        <v>1299.2445245371814</v>
      </c>
      <c r="F12" s="294">
        <f t="shared" si="0"/>
        <v>1362.1321331247764</v>
      </c>
    </row>
    <row r="13" spans="1:9">
      <c r="A13" s="214" t="s">
        <v>287</v>
      </c>
      <c r="B13" s="294">
        <f>'ShareofTaxesCal-_Act 15-16'!D59</f>
        <v>2099.7185563256285</v>
      </c>
      <c r="C13" s="294">
        <f>'ShareofTaxesCal_B.E 16-17'!D59</f>
        <v>2232.9142937783181</v>
      </c>
      <c r="D13" s="294">
        <f t="shared" si="1"/>
        <v>-133.19573745268963</v>
      </c>
      <c r="E13" s="294">
        <f>'ShareofTaxesCal-_18-19'!D61</f>
        <v>2569.5675100007616</v>
      </c>
      <c r="F13" s="294">
        <f t="shared" si="0"/>
        <v>2436.3717725480719</v>
      </c>
    </row>
    <row r="14" spans="1:9">
      <c r="A14" s="214" t="s">
        <v>288</v>
      </c>
      <c r="B14" s="294">
        <f>'ShareofTaxesCal-_Act 16-17'!D60</f>
        <v>2393.0061248834854</v>
      </c>
      <c r="C14" s="294">
        <f>'ShareofTaxesCal_B.E 16-17'!D60</f>
        <v>2266.7463285325352</v>
      </c>
      <c r="D14" s="294">
        <f t="shared" si="1"/>
        <v>126.25979635095018</v>
      </c>
      <c r="E14" s="294">
        <f>'ShareofTaxesCal-_18-19'!D62</f>
        <v>2608.5003510613792</v>
      </c>
      <c r="F14" s="294">
        <f t="shared" si="0"/>
        <v>2734.7601474123294</v>
      </c>
    </row>
    <row r="15" spans="1:9">
      <c r="A15" s="214" t="s">
        <v>289</v>
      </c>
      <c r="B15" s="294">
        <f>'ShareofTaxesCal-_Act 16-17'!D61</f>
        <v>1635.8161271591589</v>
      </c>
      <c r="C15" s="294">
        <f>'ShareofTaxesCal_B.E 16-17'!D61</f>
        <v>1549.5071917431362</v>
      </c>
      <c r="D15" s="294">
        <f t="shared" si="1"/>
        <v>86.308935416022678</v>
      </c>
      <c r="E15" s="294">
        <f>'ShareofTaxesCal-_18-19'!D63</f>
        <v>1783.1241205762863</v>
      </c>
      <c r="F15" s="294">
        <f t="shared" si="0"/>
        <v>1869.4330559923089</v>
      </c>
    </row>
    <row r="16" spans="1:9">
      <c r="A16" s="214" t="s">
        <v>290</v>
      </c>
      <c r="B16" s="294">
        <f>'ShareofTaxesCal-_Act 16-17'!D62</f>
        <v>881.68754451997108</v>
      </c>
      <c r="C16" s="294">
        <f>'ShareofTaxesCal_B.E 16-17'!D62</f>
        <v>835.16794364695568</v>
      </c>
      <c r="D16" s="294">
        <f t="shared" si="1"/>
        <v>46.519600873015406</v>
      </c>
      <c r="E16" s="294">
        <f>'ShareofTaxesCal-_18-19'!D64</f>
        <v>961.08499075353188</v>
      </c>
      <c r="F16" s="294">
        <f t="shared" si="0"/>
        <v>1007.6045916265473</v>
      </c>
    </row>
    <row r="17" spans="1:6">
      <c r="A17" s="214" t="s">
        <v>291</v>
      </c>
      <c r="B17" s="294">
        <f>'ShareofTaxesCal-_Act 16-17'!D63</f>
        <v>904.13792181098859</v>
      </c>
      <c r="C17" s="294">
        <f>'ShareofTaxesCal_B.E 16-17'!D63</f>
        <v>856.43379406389181</v>
      </c>
      <c r="D17" s="294">
        <f t="shared" si="1"/>
        <v>47.704127747096777</v>
      </c>
      <c r="E17" s="294">
        <f>'ShareofTaxesCal-_18-19'!D65</f>
        <v>985.55706227734834</v>
      </c>
      <c r="F17" s="294">
        <f t="shared" si="0"/>
        <v>1033.2611900244451</v>
      </c>
    </row>
    <row r="18" spans="1:6">
      <c r="B18" s="295"/>
      <c r="C18" s="295"/>
      <c r="D18" s="296"/>
      <c r="E18" s="295"/>
      <c r="F18" s="296"/>
    </row>
    <row r="19" spans="1:6">
      <c r="B19" s="295"/>
      <c r="C19" s="295"/>
      <c r="D19" s="296"/>
      <c r="E19" s="295"/>
      <c r="F19" s="296"/>
    </row>
    <row r="20" spans="1:6">
      <c r="B20" s="295"/>
      <c r="C20" s="295"/>
      <c r="D20" s="296"/>
      <c r="E20" s="295"/>
      <c r="F20" s="296"/>
    </row>
    <row r="21" spans="1:6">
      <c r="B21" s="295"/>
      <c r="C21" s="295"/>
      <c r="D21" s="296"/>
      <c r="E21" s="295"/>
      <c r="F21" s="296"/>
    </row>
    <row r="22" spans="1:6">
      <c r="B22" s="295"/>
      <c r="C22" s="295"/>
      <c r="D22" s="296"/>
      <c r="E22" s="295"/>
      <c r="F22" s="296"/>
    </row>
    <row r="23" spans="1:6">
      <c r="B23" s="295"/>
      <c r="C23" s="295"/>
      <c r="D23" s="296"/>
      <c r="E23" s="295"/>
      <c r="F23" s="296"/>
    </row>
    <row r="24" spans="1:6">
      <c r="B24" s="295"/>
      <c r="C24" s="295"/>
      <c r="D24" s="296"/>
      <c r="E24" s="295"/>
      <c r="F24" s="296"/>
    </row>
    <row r="25" spans="1:6">
      <c r="B25" s="295"/>
      <c r="C25" s="295"/>
      <c r="D25" s="296"/>
      <c r="E25" s="295"/>
      <c r="F25" s="296"/>
    </row>
    <row r="26" spans="1:6">
      <c r="B26" s="295"/>
      <c r="C26" s="295"/>
      <c r="D26" s="296"/>
      <c r="E26" s="295"/>
      <c r="F26" s="296"/>
    </row>
    <row r="27" spans="1:6">
      <c r="B27" s="295"/>
      <c r="C27" s="295"/>
      <c r="D27" s="296"/>
      <c r="E27" s="295"/>
      <c r="F27" s="296"/>
    </row>
    <row r="28" spans="1:6">
      <c r="B28" s="295"/>
      <c r="C28" s="295"/>
      <c r="D28" s="296"/>
      <c r="E28" s="295"/>
      <c r="F28" s="296"/>
    </row>
    <row r="29" spans="1:6">
      <c r="B29" s="295"/>
      <c r="C29" s="295"/>
      <c r="D29" s="296"/>
      <c r="E29" s="295"/>
      <c r="F29" s="296"/>
    </row>
    <row r="30" spans="1:6">
      <c r="B30" s="295"/>
      <c r="C30" s="295"/>
      <c r="D30" s="296"/>
      <c r="E30" s="295"/>
      <c r="F30" s="296"/>
    </row>
    <row r="31" spans="1:6">
      <c r="B31" s="295"/>
      <c r="C31" s="295"/>
      <c r="D31" s="296"/>
      <c r="E31" s="295"/>
      <c r="F31" s="296"/>
    </row>
    <row r="32" spans="1:6">
      <c r="B32" s="295"/>
      <c r="C32" s="295"/>
      <c r="D32" s="296"/>
      <c r="E32" s="295"/>
      <c r="F32" s="296"/>
    </row>
    <row r="33" spans="2:6">
      <c r="B33" s="295"/>
      <c r="C33" s="295"/>
      <c r="D33" s="296"/>
      <c r="E33" s="295"/>
      <c r="F33" s="296"/>
    </row>
    <row r="34" spans="2:6">
      <c r="B34" s="295"/>
      <c r="C34" s="295"/>
      <c r="D34" s="296"/>
      <c r="E34" s="295"/>
      <c r="F34" s="296"/>
    </row>
  </sheetData>
  <mergeCells count="2">
    <mergeCell ref="A1:F2"/>
    <mergeCell ref="E3:F3"/>
  </mergeCells>
  <pageMargins left="0.52" right="0.16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26</vt:i4>
      </vt:variant>
    </vt:vector>
  </HeadingPairs>
  <TitlesOfParts>
    <vt:vector size="48" baseType="lpstr">
      <vt:lpstr>dem43</vt:lpstr>
      <vt:lpstr>ShareofTaxesCal-_BE 15-16 </vt:lpstr>
      <vt:lpstr>ShareofTaxesCal-_Act 15-16</vt:lpstr>
      <vt:lpstr>Consolidated 2017-18</vt:lpstr>
      <vt:lpstr>ShareofTaxesCal-_17-18</vt:lpstr>
      <vt:lpstr>ShareofTaxesCal_B.E 16-17</vt:lpstr>
      <vt:lpstr>ShareofTaxesCal-_Act 16-17</vt:lpstr>
      <vt:lpstr>ShareofTaxesCal-_18-19</vt:lpstr>
      <vt:lpstr>Consolidated 2018-19</vt:lpstr>
      <vt:lpstr>ShareofGrantCal</vt:lpstr>
      <vt:lpstr>summaryp</vt:lpstr>
      <vt:lpstr>summarynp</vt:lpstr>
      <vt:lpstr>BE 17-18</vt:lpstr>
      <vt:lpstr>p+np</vt:lpstr>
      <vt:lpstr>Sheet1</vt:lpstr>
      <vt:lpstr>ShareofTaxesCal_B.E 17-18</vt:lpstr>
      <vt:lpstr>ShareofTaxesCal-_Act 17-18</vt:lpstr>
      <vt:lpstr>ShareofTaxesCal-_19-20</vt:lpstr>
      <vt:lpstr>Consolidated 2019-20</vt:lpstr>
      <vt:lpstr>summaryp 19-20</vt:lpstr>
      <vt:lpstr>summarynp 19-20</vt:lpstr>
      <vt:lpstr>p+np 19-20</vt:lpstr>
      <vt:lpstr>'dem43'!compen</vt:lpstr>
      <vt:lpstr>'dem43'!edu</vt:lpstr>
      <vt:lpstr>'dem43'!election</vt:lpstr>
      <vt:lpstr>'dem43'!ordp</vt:lpstr>
      <vt:lpstr>'dem43'!Print_Area</vt:lpstr>
      <vt:lpstr>'p+np 19-20'!Print_Area</vt:lpstr>
      <vt:lpstr>ShareofGrantCal!Print_Area</vt:lpstr>
      <vt:lpstr>'ShareofTaxesCal-_17-18'!Print_Area</vt:lpstr>
      <vt:lpstr>'ShareofTaxesCal-_18-19'!Print_Area</vt:lpstr>
      <vt:lpstr>'ShareofTaxesCal-_19-20'!Print_Area</vt:lpstr>
      <vt:lpstr>'ShareofTaxesCal-_Act 15-16'!Print_Area</vt:lpstr>
      <vt:lpstr>'ShareofTaxesCal-_Act 16-17'!Print_Area</vt:lpstr>
      <vt:lpstr>'ShareofTaxesCal-_Act 17-18'!Print_Area</vt:lpstr>
      <vt:lpstr>'ShareofTaxesCal_B.E 16-17'!Print_Area</vt:lpstr>
      <vt:lpstr>'ShareofTaxesCal_B.E 17-18'!Print_Area</vt:lpstr>
      <vt:lpstr>'ShareofTaxesCal-_BE 15-16 '!Print_Area</vt:lpstr>
      <vt:lpstr>summarynp!Print_Area</vt:lpstr>
      <vt:lpstr>'summarynp 19-20'!Print_Area</vt:lpstr>
      <vt:lpstr>summaryp!Print_Area</vt:lpstr>
      <vt:lpstr>'summaryp 19-20'!Print_Area</vt:lpstr>
      <vt:lpstr>'dem43'!Print_Titles</vt:lpstr>
      <vt:lpstr>summaryp!Print_Titles</vt:lpstr>
      <vt:lpstr>'summaryp 19-20'!Print_Titles</vt:lpstr>
      <vt:lpstr>'dem43'!revise</vt:lpstr>
      <vt:lpstr>'dem43'!summary</vt:lpstr>
      <vt:lpstr>'dem43'!Voted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2019-07-19T10:08:39Z</cp:lastPrinted>
  <dcterms:created xsi:type="dcterms:W3CDTF">2004-06-02T16:25:44Z</dcterms:created>
  <dcterms:modified xsi:type="dcterms:W3CDTF">2019-08-05T10:22:36Z</dcterms:modified>
</cp:coreProperties>
</file>